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dQZV6hy1IDg0vhH4gLrzzbTFsKA1T/fzSVi98Cw2nMTAtd2ksiuX1SsNfc9bkC3DKLYcmj9If7Rb4hPlWxSbQ==" workbookSaltValue="pTc/JIK4UMuFUDAHRt1h1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BK15" i="11"/>
  <c r="BI10" i="11"/>
  <c r="V9" i="11"/>
  <c r="R10" i="21"/>
  <c r="R13" i="21" s="1"/>
  <c r="BG9" i="11"/>
  <c r="BH17" i="11"/>
  <c r="AP17" i="20"/>
  <c r="BW9" i="20"/>
  <c r="BV16" i="16"/>
  <c r="BV15" i="16"/>
  <c r="BU9" i="17"/>
  <c r="BU16" i="17"/>
  <c r="T13" i="16"/>
  <c r="S15" i="16"/>
  <c r="BF12" i="11"/>
  <c r="BL10" i="11"/>
  <c r="Q15" i="17"/>
  <c r="BF15" i="11"/>
  <c r="BH12" i="16"/>
  <c r="BD9" i="8"/>
  <c r="C10" i="14"/>
  <c r="K10" i="14" s="1"/>
  <c r="AL20" i="20"/>
  <c r="E20" i="20"/>
  <c r="AC20" i="20"/>
  <c r="H17" i="2" l="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G15" i="8"/>
  <c r="B12" i="6"/>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<sst xmlns="http://schemas.openxmlformats.org/spreadsheetml/2006/main" count="2094" uniqueCount="913">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</sst>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Q/0dUjLiR7nfv7ewNV+HnF3zky0rkzoG0ehY3+KEt925yUSJIX3/1QBzREiSkYOiTFl2qqAHypnz44IDEmN6A==" saltValue="c/HWBOxLiyQDZ0RBAqd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39.981571815718155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123</v>
      </c>
      <c r="D10" s="229">
        <f>IF(ISNUMBER(Datos!I10),Datos!I10," - ")</f>
        <v>123</v>
      </c>
      <c r="E10" s="230">
        <f>IF(ISNUMBER(Datos!J10),Datos!J10," - ")</f>
        <v>38</v>
      </c>
      <c r="F10" s="230">
        <f>IF(ISNUMBER(Datos!K10),Datos!K10," - ")</f>
        <v>17</v>
      </c>
      <c r="G10" s="1189" t="str">
        <f>IF(Datos!E10&lt;&gt;"",Datos!E10,Datos!D10)</f>
        <v>37</v>
      </c>
      <c r="H10" s="231">
        <f>IF(ISNUMBER(Datos!L10),Datos!L10," - ")</f>
        <v>144</v>
      </c>
      <c r="I10" s="1199" t="str">
        <f>IF(ISNUMBER(Datos!AS10/Datos!BM10),Datos!AS10/Datos!BM10," - ")</f>
        <v xml:space="preserve"> - </v>
      </c>
      <c r="J10" s="1200">
        <f>IF(ISNUMBER(Datos!BY10/Datos!CN10),Datos!BY10/Datos!CN10," - ")</f>
        <v>0</v>
      </c>
      <c r="K10" s="234">
        <f t="shared" ref="K10:K12" si="1">IF(ISNUMBER((E10-F10)/C10),(E10-F10)/C10," - ")</f>
        <v>0.17073170731707318</v>
      </c>
      <c r="L10" s="1201">
        <f>IF(ISNUMBER(NºAsuntos!I10/NºAsuntos!G10),(NºAsuntos!I10/NºAsuntos!G10)*11," - ")</f>
        <v>93.17647058823529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123</v>
      </c>
      <c r="D13" s="1206">
        <f>SUBTOTAL(9,D9:D12)</f>
        <v>123</v>
      </c>
      <c r="E13" s="1207">
        <f>SUBTOTAL(9,E9:E12)</f>
        <v>38</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1865</v>
      </c>
      <c r="D15" s="229">
        <f>IF(ISNUMBER(IF(D_I="SI",Datos!I15,Datos!I15+Datos!AC15)),IF(D_I="SI",Datos!I15,Datos!I15+Datos!AC15)," - ")</f>
        <v>1834</v>
      </c>
      <c r="E15" s="230">
        <f>IF(ISNUMBER(IF(D_I="SI",Datos!J15,Datos!J15+Datos!AD15)),IF(D_I="SI",Datos!J15,Datos!J15+Datos!AD15)," - ")</f>
        <v>4066</v>
      </c>
      <c r="F15" s="230">
        <f>IF(ISNUMBER(IF(D_I="SI",Datos!K15,Datos!K15+Datos!AE15)),IF(D_I="SI",Datos!K15,Datos!K15+Datos!AE15)," - ")</f>
        <v>4066</v>
      </c>
      <c r="G15" s="1189" t="str">
        <f>IF(Datos!E15&lt;&gt;"",Datos!E15,Datos!D15)</f>
        <v>03</v>
      </c>
      <c r="H15" s="231">
        <f>IF(ISNUMBER(IF(D_I="SI",Datos!L15,Datos!L15+Datos!AF15)),IF(D_I="SI",Datos!L15,Datos!L15+Datos!AF15)," - ")</f>
        <v>1865</v>
      </c>
      <c r="I15" s="1199" t="str">
        <f>IF(ISNUMBER(Datos!AS15/Datos!BM15),Datos!AS15/Datos!BM15," - ")</f>
        <v xml:space="preserve"> - </v>
      </c>
      <c r="J15" s="1200">
        <f>IF(ISNUMBER(Datos!BY15/Datos!CN15),Datos!BY15/Datos!CN15," - ")</f>
        <v>0</v>
      </c>
      <c r="K15" s="234">
        <f t="shared" ref="K15:K17" si="3">IF(ISNUMBER((E15-F15)/C15),(E15-F15)/C15," - ")</f>
        <v>0</v>
      </c>
      <c r="L15" s="1201">
        <f>IF(ISNUMBER(NºAsuntos!I15/NºAsuntos!G15),(NºAsuntos!I15/NºAsuntos!G15)*11," - ")</f>
        <v>5.0454992621741273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340</v>
      </c>
      <c r="D17" s="229">
        <f>IF(ISNUMBER(IF(D_I="SI",Datos!I17,Datos!I17+Datos!AC17)),IF(D_I="SI",Datos!I17,Datos!I17+Datos!AC17)," - ")</f>
        <v>330</v>
      </c>
      <c r="E17" s="230">
        <f>IF(ISNUMBER(IF(D_I="SI",Datos!J17,Datos!J17+Datos!AD17)),IF(D_I="SI",Datos!J17,Datos!J17+Datos!AD17)," - ")</f>
        <v>300</v>
      </c>
      <c r="F17" s="230">
        <f>IF(ISNUMBER(IF(D_I="SI",Datos!K17,Datos!K17+Datos!AE17)),IF(D_I="SI",Datos!K17,Datos!K17+Datos!AE17)," - ")</f>
        <v>289</v>
      </c>
      <c r="G17" s="1189" t="str">
        <f>IF(Datos!E17&lt;&gt;"",Datos!E17,Datos!D17)</f>
        <v>37</v>
      </c>
      <c r="H17" s="231">
        <f>IF(ISNUMBER(IF(D_I="SI",Datos!L17,Datos!L17+Datos!AF17)),IF(D_I="SI",Datos!L17,Datos!L17+Datos!AF17)," - ")</f>
        <v>351</v>
      </c>
      <c r="I17" s="1199" t="str">
        <f>IF(ISNUMBER(Datos!AS17/Datos!BM17),Datos!AS17/Datos!BM17," - ")</f>
        <v xml:space="preserve"> - </v>
      </c>
      <c r="J17" s="1200" t="str">
        <f>IF(ISNUMBER((Datos!BY17+Datos!BZ17)/Datos!CN17),(Datos!BY17+Datos!BZ17)/Datos!CN17," - ")</f>
        <v xml:space="preserve"> - </v>
      </c>
      <c r="K17" s="234">
        <f t="shared" si="3"/>
        <v>3.2352941176470591E-2</v>
      </c>
      <c r="L17" s="1201">
        <f>IF(ISNUMBER(NºAsuntos!I17/NºAsuntos!G17),(NºAsuntos!I17/NºAsuntos!G17)*11," - ")</f>
        <v>13.359861591695502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2205</v>
      </c>
      <c r="D18" s="1206">
        <f>SUBTOTAL(9,D15:D17)</f>
        <v>2164</v>
      </c>
      <c r="E18" s="1207">
        <f>SUBTOTAL(9,E15:E17)</f>
        <v>4366</v>
      </c>
      <c r="F18" s="1207">
        <f>SUBTOTAL(9,F15:F17)</f>
        <v>4355</v>
      </c>
      <c r="G18" s="1209" t="str">
        <f ca="1">INDIRECT(CONCATENATE("G",ROW()-1))</f>
        <v>37</v>
      </c>
      <c r="H18" s="1210">
        <f ca="1">SUMIF(G$14:G17,G18,H$14:H17)</f>
        <v>351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2328</v>
      </c>
      <c r="D19" s="1228">
        <f>SUBTOTAL(9,D9:D18)</f>
        <v>2287</v>
      </c>
      <c r="E19" s="1229">
        <f>SUBTOTAL(9,E9:E18)</f>
        <v>4404</v>
      </c>
      <c r="F19" s="1229">
        <f>SUBTOTAL(9,F9:F18)</f>
        <v>4372</v>
      </c>
      <c r="G19" s="1230"/>
      <c r="H19" s="1231">
        <f ca="1">SUMIF(B9:B18,"TOTAL",H9:H18)</f>
        <v>351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7qMjNWKIcVw90x1k4WFEeJL+PWcmas8OWnH1JWH6y+d0MqBVNy11kp7harfo+siowsxqgJhcMKokgfaftJg9w==" saltValue="dO9jzZU8Xez3DU0pIgvGL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4hS3zUCc60LrRuXGV1C8Atn8ws1rF8PAjCZ6ufQf0BvwMlBDRZZAM3ZMibab5fKsZWRtuZthY2nfVRwea5oXw==" saltValue="yFoNiwXMp73GbZr7h3zU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5781</v>
      </c>
      <c r="J9" s="185">
        <v>2484</v>
      </c>
      <c r="K9" s="185">
        <v>1696</v>
      </c>
      <c r="L9" s="185">
        <v>6569</v>
      </c>
      <c r="M9" s="185">
        <v>396</v>
      </c>
      <c r="N9" s="185">
        <v>789</v>
      </c>
      <c r="O9" s="185">
        <v>865</v>
      </c>
      <c r="P9" s="185">
        <v>502</v>
      </c>
      <c r="Q9" s="185">
        <v>364</v>
      </c>
      <c r="R9" s="185">
        <v>6928</v>
      </c>
      <c r="S9" s="185">
        <v>5565</v>
      </c>
      <c r="T9" s="185">
        <v>1876</v>
      </c>
      <c r="U9" s="185">
        <v>2034</v>
      </c>
      <c r="V9" s="185">
        <v>5407</v>
      </c>
      <c r="W9" s="185">
        <v>490</v>
      </c>
      <c r="X9" s="192">
        <v>806</v>
      </c>
      <c r="Y9" s="195">
        <v>138</v>
      </c>
      <c r="Z9" s="185">
        <v>148</v>
      </c>
      <c r="AA9" s="185">
        <v>149</v>
      </c>
      <c r="AB9" s="185">
        <v>137</v>
      </c>
      <c r="AC9" s="185">
        <v>0</v>
      </c>
      <c r="AD9" s="185">
        <v>0</v>
      </c>
      <c r="AE9" s="185">
        <v>0</v>
      </c>
      <c r="AF9" s="192">
        <v>0</v>
      </c>
      <c r="AG9" s="195">
        <v>170</v>
      </c>
      <c r="AH9" s="185">
        <v>170</v>
      </c>
      <c r="AI9" s="185">
        <v>189</v>
      </c>
      <c r="AJ9" s="196">
        <v>151</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5735</v>
      </c>
      <c r="AZ9" s="124">
        <f>IF(ISNUMBER(IF(J_V="SI",T9,T9+AH9)),IF(J_V="SI",T9,T9+AH9)," - ")</f>
        <v>2046</v>
      </c>
      <c r="BA9" s="125">
        <f>IF(ISNUMBER(IF(J_V="SI",U9,U9+AI9)),IF(J_V="SI",U9,U9+AI9)," - ")</f>
        <v>2223</v>
      </c>
      <c r="BB9" s="125">
        <f>IF(ISNUMBER(IF(J_V="SI",V9,V9+AJ9)),IF(J_V="SI",V9,V9+AJ9)," - ")</f>
        <v>5558</v>
      </c>
      <c r="BC9" s="126">
        <f>IF(ISNUMBER(X9),X9," - ")</f>
        <v>806</v>
      </c>
      <c r="BD9" s="127">
        <f>IF(ISNUMBER(BA9/AZ9),BA9/AZ9," - ")</f>
        <v>1.0865102639296187</v>
      </c>
      <c r="BE9" s="128">
        <f>IF(ISNUMBER(BB9/BA9),BB9/BA9, " - ")</f>
        <v>2.5002249212775527</v>
      </c>
      <c r="BF9" s="128">
        <f>IF(ISNUMBER(BC9/BA9),BC9/BA9, " - ")</f>
        <v>0.36257309941520466</v>
      </c>
      <c r="BG9" s="200">
        <f>IF(ISNUMBER((AY9+AZ9)/BA9),(AY9+AZ9)/BA9," - ")</f>
        <v>3.5002249212775527</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123</v>
      </c>
      <c r="J10" s="185">
        <v>38</v>
      </c>
      <c r="K10" s="185">
        <v>17</v>
      </c>
      <c r="L10" s="185">
        <v>144</v>
      </c>
      <c r="M10" s="185">
        <v>5</v>
      </c>
      <c r="N10" s="185">
        <v>8</v>
      </c>
      <c r="O10" s="185">
        <v>7</v>
      </c>
      <c r="P10" s="185">
        <v>4</v>
      </c>
      <c r="Q10" s="185">
        <v>4</v>
      </c>
      <c r="R10" s="185">
        <v>73</v>
      </c>
      <c r="S10" s="185">
        <v>144</v>
      </c>
      <c r="T10" s="185">
        <v>12</v>
      </c>
      <c r="U10" s="185">
        <v>33</v>
      </c>
      <c r="V10" s="185">
        <v>123</v>
      </c>
      <c r="W10" s="185">
        <v>14</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144</v>
      </c>
      <c r="AZ10" s="130">
        <f t="shared" si="0"/>
        <v>12</v>
      </c>
      <c r="BA10" s="130">
        <f t="shared" si="0"/>
        <v>33</v>
      </c>
      <c r="BB10" s="130">
        <f t="shared" si="0"/>
        <v>123</v>
      </c>
      <c r="BC10" s="126">
        <f t="shared" si="0"/>
        <v>14</v>
      </c>
      <c r="BD10" s="127">
        <f>IF(ISNUMBER(BA10/AZ10),BA10/AZ10," - ")</f>
        <v>2.75</v>
      </c>
      <c r="BE10" s="128">
        <f>IF(ISNUMBER(BB10/BA10),BB10/BA10, " - ")</f>
        <v>3.7272727272727271</v>
      </c>
      <c r="BF10" s="128">
        <f>IF(ISNUMBER(BC10/BA10),BC10/BA10, " - ")</f>
        <v>0.42424242424242425</v>
      </c>
      <c r="BG10" s="200">
        <f>IF(ISNUMBER((AY10+AZ10)/BA10),(AY10+AZ10)/BA10," - ")</f>
        <v>4.7272727272727275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5904</v>
      </c>
      <c r="J13" s="188">
        <f t="shared" si="6"/>
        <v>2522</v>
      </c>
      <c r="K13" s="188">
        <f t="shared" si="6"/>
        <v>1713</v>
      </c>
      <c r="L13" s="188">
        <f t="shared" si="6"/>
        <v>6713</v>
      </c>
      <c r="M13" s="188">
        <f t="shared" si="6"/>
        <v>401</v>
      </c>
      <c r="N13" s="188">
        <f t="shared" si="6"/>
        <v>797</v>
      </c>
      <c r="O13" s="188">
        <f t="shared" si="6"/>
        <v>872</v>
      </c>
      <c r="P13" s="188">
        <f t="shared" si="6"/>
        <v>506</v>
      </c>
      <c r="Q13" s="188">
        <f t="shared" si="6"/>
        <v>368</v>
      </c>
      <c r="R13" s="188">
        <f t="shared" si="6"/>
        <v>7001</v>
      </c>
      <c r="S13" s="188">
        <f t="shared" si="6"/>
        <v>5709</v>
      </c>
      <c r="T13" s="188">
        <f t="shared" si="6"/>
        <v>1888</v>
      </c>
      <c r="U13" s="188">
        <f t="shared" si="6"/>
        <v>2067</v>
      </c>
      <c r="V13" s="188">
        <f t="shared" si="6"/>
        <v>5530</v>
      </c>
      <c r="W13" s="188">
        <f t="shared" si="6"/>
        <v>504</v>
      </c>
      <c r="X13" s="188">
        <f t="shared" si="6"/>
        <v>811</v>
      </c>
      <c r="Y13" s="188">
        <f t="shared" si="6"/>
        <v>138</v>
      </c>
      <c r="Z13" s="188">
        <f t="shared" si="6"/>
        <v>148</v>
      </c>
      <c r="AA13" s="188">
        <f t="shared" si="6"/>
        <v>149</v>
      </c>
      <c r="AB13" s="188">
        <f t="shared" si="6"/>
        <v>137</v>
      </c>
      <c r="AC13" s="188">
        <f t="shared" si="6"/>
        <v>0</v>
      </c>
      <c r="AD13" s="188">
        <f t="shared" si="6"/>
        <v>0</v>
      </c>
      <c r="AE13" s="188">
        <f t="shared" si="6"/>
        <v>0</v>
      </c>
      <c r="AF13" s="188">
        <f>SUBTOTAL(9,AF9:AF12)</f>
        <v>0</v>
      </c>
      <c r="AG13" s="188">
        <f t="shared" ref="AG13:AT13" si="7">SUBTOTAL(9,AG8:AG12)</f>
        <v>170</v>
      </c>
      <c r="AH13" s="188">
        <f t="shared" si="7"/>
        <v>170</v>
      </c>
      <c r="AI13" s="188">
        <f t="shared" si="7"/>
        <v>189</v>
      </c>
      <c r="AJ13" s="188">
        <f t="shared" si="7"/>
        <v>151</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5879</v>
      </c>
      <c r="AZ13" s="188">
        <f>SUBTOTAL(9,AZ8:AZ12)</f>
        <v>2058</v>
      </c>
      <c r="BA13" s="188">
        <f>SUBTOTAL(9,BA8:BA12)</f>
        <v>2256</v>
      </c>
      <c r="BB13" s="188">
        <f>SUBTOTAL(9,BB8:BB12)</f>
        <v>5681</v>
      </c>
      <c r="BC13" s="188">
        <f>SUBTOTAL(9,BC8:BC12)</f>
        <v>820</v>
      </c>
      <c r="BD13" s="209">
        <f>IF(ISNUMBER(BA13/AZ13),BA13/AZ13," - ")</f>
        <v>1.0962099125364431</v>
      </c>
      <c r="BE13" s="210">
        <f>IF(ISNUMBER(BB13/BA13),BB13/BA13, " - ")</f>
        <v>2.5181737588652484</v>
      </c>
      <c r="BF13" s="210">
        <f>IF(ISNUMBER(BC13/BA13),BC13/BA13, " - ")</f>
        <v>0.36347517730496454</v>
      </c>
      <c r="BG13" s="211">
        <f>IF(ISNUMBER((AY13+AZ13)/BA13),(AY13+AZ13)/BA13," - ")</f>
        <v>3.5181737588652484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1834</v>
      </c>
      <c r="J15" s="187">
        <v>4066</v>
      </c>
      <c r="K15" s="187">
        <v>4066</v>
      </c>
      <c r="L15" s="187">
        <v>1865</v>
      </c>
      <c r="M15" s="187">
        <v>307</v>
      </c>
      <c r="N15" s="187">
        <v>2818</v>
      </c>
      <c r="O15" s="185">
        <v>66</v>
      </c>
      <c r="P15" s="187">
        <v>61</v>
      </c>
      <c r="Q15" s="187">
        <v>91</v>
      </c>
      <c r="R15" s="187">
        <v>197</v>
      </c>
      <c r="S15" s="187">
        <v>1887</v>
      </c>
      <c r="T15" s="187">
        <v>3831</v>
      </c>
      <c r="U15" s="187">
        <v>4014</v>
      </c>
      <c r="V15" s="187">
        <v>1754</v>
      </c>
      <c r="W15" s="187">
        <v>290</v>
      </c>
      <c r="X15" s="193">
        <v>2578</v>
      </c>
      <c r="Y15" s="206">
        <v>0</v>
      </c>
      <c r="Z15" s="187">
        <v>0</v>
      </c>
      <c r="AA15" s="187">
        <v>0</v>
      </c>
      <c r="AB15" s="187">
        <v>0</v>
      </c>
      <c r="AC15" s="187">
        <v>0</v>
      </c>
      <c r="AD15" s="187">
        <v>7</v>
      </c>
      <c r="AE15" s="187">
        <v>4</v>
      </c>
      <c r="AF15" s="193">
        <v>3</v>
      </c>
      <c r="AG15" s="206">
        <v>0</v>
      </c>
      <c r="AH15" s="187">
        <v>0</v>
      </c>
      <c r="AI15" s="187">
        <v>0</v>
      </c>
      <c r="AJ15" s="207">
        <v>0</v>
      </c>
      <c r="AK15" s="186">
        <v>0</v>
      </c>
      <c r="AL15" s="187">
        <v>5</v>
      </c>
      <c r="AM15" s="187">
        <v>5</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1887</v>
      </c>
      <c r="AZ15" s="130">
        <f t="shared" si="9"/>
        <v>3831</v>
      </c>
      <c r="BA15" s="130">
        <f t="shared" si="9"/>
        <v>4014</v>
      </c>
      <c r="BB15" s="130">
        <f t="shared" si="9"/>
        <v>1754</v>
      </c>
      <c r="BC15" s="126">
        <f>IF(ISNUMBER(W15),W15," - ")</f>
        <v>290</v>
      </c>
      <c r="BD15" s="127">
        <f>IF(ISNUMBER(BA15/AZ15),BA15/AZ15," - ")</f>
        <v>1.047768206734534</v>
      </c>
      <c r="BE15" s="128">
        <f>IF(ISNUMBER(BB15/BA15),BB15/BA15, " - ")</f>
        <v>0.43697060288988537</v>
      </c>
      <c r="BF15" s="128">
        <f>IF(ISNUMBER(BC15/BA15),BC15/BA15, " - ")</f>
        <v>7.2247135027404083E-2</v>
      </c>
      <c r="BG15" s="200">
        <f t="shared" ref="BG15:BG16" si="10">IF(ISNUMBER((AY15+AZ15)/BA15),(AY15+AZ15)/BA15," - ")</f>
        <v>1.4245142002989537</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330</v>
      </c>
      <c r="J17" s="187">
        <v>300</v>
      </c>
      <c r="K17" s="187">
        <v>289</v>
      </c>
      <c r="L17" s="187">
        <v>351</v>
      </c>
      <c r="M17" s="187">
        <v>32</v>
      </c>
      <c r="N17" s="187">
        <v>160</v>
      </c>
      <c r="O17" s="187">
        <v>0</v>
      </c>
      <c r="P17" s="187">
        <v>5</v>
      </c>
      <c r="Q17" s="187">
        <v>3</v>
      </c>
      <c r="R17" s="187">
        <v>10</v>
      </c>
      <c r="S17" s="187">
        <v>373</v>
      </c>
      <c r="T17" s="187">
        <v>298</v>
      </c>
      <c r="U17" s="187">
        <v>330</v>
      </c>
      <c r="V17" s="187">
        <v>341</v>
      </c>
      <c r="W17" s="187">
        <v>20</v>
      </c>
      <c r="X17" s="193">
        <v>160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373</v>
      </c>
      <c r="AZ17" s="130">
        <f t="shared" si="14"/>
        <v>298</v>
      </c>
      <c r="BA17" s="130">
        <f t="shared" si="14"/>
        <v>330</v>
      </c>
      <c r="BB17" s="130">
        <f t="shared" si="14"/>
        <v>341</v>
      </c>
      <c r="BC17" s="126">
        <f>IF(ISNUMBER(W17),W17," - ")</f>
        <v>20</v>
      </c>
      <c r="BD17" s="127">
        <f>IF(ISNUMBER(BA17/AZ17),BA17/AZ17," - ")</f>
        <v>1.1073825503355705</v>
      </c>
      <c r="BE17" s="128">
        <f>IF(ISNUMBER(BB17/BA17),BB17/BA17, " - ")</f>
        <v>1.0333333333333334</v>
      </c>
      <c r="BF17" s="128">
        <f>IF(ISNUMBER(BC17/BA17),BC17/BA17, " - ")</f>
        <v>6.0606060606060608E-2</v>
      </c>
      <c r="BG17" s="200">
        <f>IF(ISNUMBER((AY17+AZ17)/BA17),(AY17+AZ17)/BA17," - ")</f>
        <v>2.0333333333333332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2164</v>
      </c>
      <c r="J18" s="188">
        <f t="shared" si="15"/>
        <v>4366</v>
      </c>
      <c r="K18" s="188">
        <f t="shared" si="15"/>
        <v>4355</v>
      </c>
      <c r="L18" s="188">
        <f t="shared" si="15"/>
        <v>2216</v>
      </c>
      <c r="M18" s="188">
        <f t="shared" si="15"/>
        <v>339</v>
      </c>
      <c r="N18" s="188">
        <f t="shared" si="15"/>
        <v>2978</v>
      </c>
      <c r="O18" s="188">
        <f t="shared" si="15"/>
        <v>66</v>
      </c>
      <c r="P18" s="188">
        <f t="shared" si="15"/>
        <v>66</v>
      </c>
      <c r="Q18" s="188">
        <f t="shared" si="15"/>
        <v>94</v>
      </c>
      <c r="R18" s="188">
        <f t="shared" si="15"/>
        <v>207</v>
      </c>
      <c r="S18" s="188">
        <f t="shared" si="15"/>
        <v>2260</v>
      </c>
      <c r="T18" s="188">
        <f t="shared" si="15"/>
        <v>4129</v>
      </c>
      <c r="U18" s="188">
        <f t="shared" si="15"/>
        <v>4344</v>
      </c>
      <c r="V18" s="188">
        <f t="shared" si="15"/>
        <v>2095</v>
      </c>
      <c r="W18" s="188">
        <f t="shared" si="15"/>
        <v>310</v>
      </c>
      <c r="X18" s="188">
        <f t="shared" si="15"/>
        <v>2738</v>
      </c>
      <c r="Y18" s="188">
        <f t="shared" si="15"/>
        <v>0</v>
      </c>
      <c r="Z18" s="188">
        <f t="shared" si="15"/>
        <v>0</v>
      </c>
      <c r="AA18" s="188">
        <f t="shared" si="15"/>
        <v>0</v>
      </c>
      <c r="AB18" s="188">
        <f t="shared" si="15"/>
        <v>0</v>
      </c>
      <c r="AC18" s="188">
        <f t="shared" si="15"/>
        <v>0</v>
      </c>
      <c r="AD18" s="188">
        <f t="shared" si="15"/>
        <v>7</v>
      </c>
      <c r="AE18" s="188">
        <f t="shared" si="15"/>
        <v>4</v>
      </c>
      <c r="AF18" s="188">
        <f t="shared" si="15"/>
        <v>3</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2260</v>
      </c>
      <c r="AZ18" s="188">
        <f>SUBTOTAL(9,AZ14:AZ17)</f>
        <v>4129</v>
      </c>
      <c r="BA18" s="188">
        <f>SUBTOTAL(9,BA14:BA17)</f>
        <v>4344</v>
      </c>
      <c r="BB18" s="188">
        <f>SUBTOTAL(9,BB14:BB17)</f>
        <v>2095</v>
      </c>
      <c r="BC18" s="188">
        <f>SUBTOTAL(9,BC14:BC17)</f>
        <v>310</v>
      </c>
      <c r="BD18" s="209">
        <f>IF(ISNUMBER(BA18/AZ18),BA18/AZ18," - ")</f>
        <v>1.0520707193024945</v>
      </c>
      <c r="BE18" s="210">
        <f>IF(ISNUMBER(BB18/BA18),BB18/BA18, " - ")</f>
        <v>0.48227440147329648</v>
      </c>
      <c r="BF18" s="210">
        <f>IF(ISNUMBER(BC18/BA18),BC18/BA18, " - ")</f>
        <v>7.1362799263351748E-2</v>
      </c>
      <c r="BG18" s="211">
        <f>IF(ISNUMBER((AY18+AZ18)/BA18),(AY18+AZ18)/BA18," - ")</f>
        <v>1.4707642725598526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8068</v>
      </c>
      <c r="J19" s="135">
        <f t="shared" si="18"/>
        <v>6888</v>
      </c>
      <c r="K19" s="135">
        <f t="shared" si="18"/>
        <v>6068</v>
      </c>
      <c r="L19" s="135">
        <f t="shared" si="18"/>
        <v>8929</v>
      </c>
      <c r="M19" s="135">
        <f t="shared" si="18"/>
        <v>740</v>
      </c>
      <c r="N19" s="135">
        <f t="shared" si="18"/>
        <v>3775</v>
      </c>
      <c r="O19" s="135">
        <f t="shared" si="18"/>
        <v>938</v>
      </c>
      <c r="P19" s="135">
        <f t="shared" si="18"/>
        <v>572</v>
      </c>
      <c r="Q19" s="135">
        <f t="shared" si="18"/>
        <v>462</v>
      </c>
      <c r="R19" s="135">
        <f t="shared" si="18"/>
        <v>7208</v>
      </c>
      <c r="S19" s="135">
        <f t="shared" si="18"/>
        <v>7969</v>
      </c>
      <c r="T19" s="135">
        <f t="shared" si="18"/>
        <v>6017</v>
      </c>
      <c r="U19" s="135">
        <f t="shared" si="18"/>
        <v>6411</v>
      </c>
      <c r="V19" s="135">
        <f t="shared" si="18"/>
        <v>7625</v>
      </c>
      <c r="W19" s="135">
        <f t="shared" si="18"/>
        <v>814</v>
      </c>
      <c r="X19" s="135">
        <f t="shared" si="18"/>
        <v>3549</v>
      </c>
      <c r="Y19" s="135">
        <f t="shared" si="18"/>
        <v>138</v>
      </c>
      <c r="Z19" s="135">
        <f t="shared" si="18"/>
        <v>148</v>
      </c>
      <c r="AA19" s="135">
        <f t="shared" si="18"/>
        <v>149</v>
      </c>
      <c r="AB19" s="135">
        <f t="shared" si="18"/>
        <v>137</v>
      </c>
      <c r="AC19" s="135">
        <f t="shared" si="18"/>
        <v>0</v>
      </c>
      <c r="AD19" s="135">
        <f t="shared" si="18"/>
        <v>7</v>
      </c>
      <c r="AE19" s="135">
        <f t="shared" si="18"/>
        <v>4</v>
      </c>
      <c r="AF19" s="135">
        <f t="shared" si="18"/>
        <v>3</v>
      </c>
      <c r="AG19" s="135">
        <f t="shared" si="18"/>
        <v>170</v>
      </c>
      <c r="AH19" s="135">
        <f t="shared" si="18"/>
        <v>170</v>
      </c>
      <c r="AI19" s="135">
        <f t="shared" si="18"/>
        <v>189</v>
      </c>
      <c r="AJ19" s="135">
        <f t="shared" si="18"/>
        <v>151</v>
      </c>
      <c r="AK19" s="135">
        <f t="shared" si="18"/>
        <v>0</v>
      </c>
      <c r="AL19" s="135">
        <f t="shared" si="18"/>
        <v>5</v>
      </c>
      <c r="AM19" s="135">
        <f t="shared" si="18"/>
        <v>5</v>
      </c>
      <c r="AN19" s="214">
        <f t="shared" si="18"/>
        <v>0</v>
      </c>
      <c r="AO19" s="215">
        <v>11</v>
      </c>
      <c r="AP19" s="215">
        <v>10</v>
      </c>
      <c r="AQ19" s="215">
        <v>10</v>
      </c>
      <c r="AR19" s="215">
        <v>10</v>
      </c>
      <c r="AS19" s="157">
        <f t="shared" si="18"/>
        <v>0</v>
      </c>
      <c r="AT19" s="157">
        <f t="shared" si="18"/>
        <v>0</v>
      </c>
      <c r="AU19" s="215"/>
      <c r="AV19" s="216"/>
      <c r="AW19" s="215"/>
      <c r="AX19" s="216"/>
      <c r="AY19" s="134">
        <f>SUBTOTAL(9,AY9:AY18)</f>
        <v>8139</v>
      </c>
      <c r="AZ19" s="135">
        <f>SUBTOTAL(9,AZ9:AZ18)</f>
        <v>6187</v>
      </c>
      <c r="BA19" s="135">
        <f>SUBTOTAL(9,BA9:BA18)</f>
        <v>6600</v>
      </c>
      <c r="BB19" s="135">
        <f>SUBTOTAL(9,BB9:BB18)</f>
        <v>7776</v>
      </c>
      <c r="BC19" s="136">
        <f>SUBTOTAL(9,BC9:BC18)</f>
        <v>1130</v>
      </c>
      <c r="BD19" s="217">
        <f>IF(ISNUMBER(BA19/AZ19),BA19/AZ19," - ")</f>
        <v>1.0667528689187005</v>
      </c>
      <c r="BE19" s="214">
        <f>IF(ISNUMBER(BB19/BA19),BB19/BA19, " - ")</f>
        <v>1.1781818181818182</v>
      </c>
      <c r="BF19" s="214">
        <f>IF(ISNUMBER(BC19/BA19),BC19/BA19, " - ")</f>
        <v>0.1712121212121212</v>
      </c>
      <c r="BG19" s="136">
        <f>IF(ISNUMBER((AY19+AZ19)/BA19),(AY19+AZ19)/BA19," - ")</f>
        <v>2.1706060606060604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beebTZEZjNMcmLpmORFHmZkxkYSjiJkGElqhbDNzcHiDRaVb/WSwt0hxP5tiBIdnAAwnuWRScUrtvBXvfS3w==" saltValue="/T8a/WF9mzN5HT8eII/u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4iZk6pW64MjCxL/XSa7eNEDV+5vNTTHBlByX9f7whROqICT0MKOVFt8fK566KASKcGA7sUS2nP5qDTQ3YRLRw==" saltValue="bApQ3bVwe0qOeIn0FOik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TORREMOLINOS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148</v>
      </c>
      <c r="O9" s="503"/>
      <c r="P9" s="503"/>
      <c r="Q9" s="501">
        <f>IF(ISNUMBER(Datos!P9),Datos!P9,0)</f>
        <v>502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364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137</v>
      </c>
      <c r="AI9" s="503" t="str">
        <f>IF(ISNUMBER(Datos!CD9),Datos!CD9,"-")</f>
        <v>-</v>
      </c>
      <c r="AJ9" s="503" t="str">
        <f>IF(ISNUMBER(Datos!EN9),Datos!EN9," - ")</f>
        <v xml:space="preserve"> - </v>
      </c>
      <c r="AK9" s="503"/>
      <c r="AL9" s="504"/>
      <c r="AM9" s="671">
        <f>IF(ISNUMBER(Datos!R9),Datos!R9," - ")</f>
        <v>6928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396</v>
      </c>
      <c r="BD9" s="619">
        <f>IF(ISNUMBER(Datos!N9),Datos!N9," - ")</f>
        <v>789</v>
      </c>
      <c r="BE9" s="619" t="str">
        <f>IF(ISNUMBER(Datos!BW9),Datos!BW9," - ")</f>
        <v xml:space="preserve"> - </v>
      </c>
      <c r="BF9" s="667" t="str">
        <f>IF(ISNUMBER(Datos!BX9),Datos!BX9," - ")</f>
        <v xml:space="preserve"> - </v>
      </c>
      <c r="BG9" s="668">
        <f>IF(ISNUMBER(IF(J_V="SI",Datos!K9/Datos!J9,(Datos!K9+Datos!AA9)/(Datos!J9+Datos!Z9))),IF(J_V="SI",Datos!K9/Datos!J9,(Datos!K9+Datos!AA9)/(Datos!J9+Datos!Z9))," - ")</f>
        <v>0.70098784194528874</v>
      </c>
      <c r="BH9" s="669">
        <f>IF(ISNUMBER(((IF(J_V="SI",Datos!L9/Datos!K9,(Datos!L9+Datos!AB9)/(Datos!K9+Datos!AA9)))*11)/factor_trimestre),((IF(J_V="SI",Datos!L9/Datos!K9,(Datos!L9+Datos!AB9)/(Datos!K9+Datos!AA9)))*11)/factor_trimestre," - ")</f>
        <v>10.904065040650407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2.0324005891016201E-2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123</v>
      </c>
      <c r="G10" s="497">
        <f>IF(ISNUMBER(Datos!I10),Datos!I10," - ")</f>
        <v>123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4</v>
      </c>
      <c r="AD10" s="503"/>
      <c r="AE10" s="516"/>
      <c r="AF10" s="505">
        <f>IF(ISNUMBER(Datos!L10),Datos!L10,"-")</f>
        <v>144</v>
      </c>
      <c r="AG10" s="503"/>
      <c r="AH10" s="503"/>
      <c r="AI10" s="503"/>
      <c r="AJ10" s="503"/>
      <c r="AK10" s="503"/>
      <c r="AL10" s="504"/>
      <c r="AM10" s="671">
        <f>IF(ISNUMBER(Datos!R10),Datos!R10," - ")</f>
        <v>73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8</v>
      </c>
      <c r="BE10" s="619" t="str">
        <f>IF(ISNUMBER(Datos!BW10),Datos!BW10," - ")</f>
        <v xml:space="preserve"> - </v>
      </c>
      <c r="BF10" s="667" t="str">
        <f>IF(ISNUMBER(Datos!BX10),Datos!BX10," - ")</f>
        <v xml:space="preserve"> - </v>
      </c>
      <c r="BG10" s="668">
        <f>IF(ISNUMBER(Datos!K10/Datos!J10),Datos!K10/Datos!J10," - ")</f>
        <v>0.44736842105263158</v>
      </c>
      <c r="BH10" s="669">
        <f>IF(ISNUMBER(((Datos!L10/Datos!K10)*11)/factor_trimestre),((Datos!L10/Datos!K10)*11)/factor_trimestre," - ")</f>
        <v>25.411764705882351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123</v>
      </c>
      <c r="G13" s="1044">
        <f t="shared" si="0"/>
        <v>123</v>
      </c>
      <c r="H13" s="1045">
        <f t="shared" si="0"/>
        <v>0</v>
      </c>
      <c r="I13" s="1044">
        <f t="shared" si="0"/>
        <v>0</v>
      </c>
      <c r="J13" s="1013">
        <f t="shared" si="0"/>
        <v>0</v>
      </c>
      <c r="K13" s="1013">
        <f t="shared" si="0"/>
        <v>0</v>
      </c>
      <c r="L13" s="1045">
        <f t="shared" si="0"/>
        <v>0</v>
      </c>
      <c r="M13" s="1045">
        <f t="shared" si="0"/>
        <v>0</v>
      </c>
      <c r="N13" s="1045">
        <f t="shared" si="0"/>
        <v>148</v>
      </c>
      <c r="O13" s="1046">
        <f t="shared" si="0"/>
        <v>0</v>
      </c>
      <c r="P13" s="1046">
        <f t="shared" si="0"/>
        <v>0</v>
      </c>
      <c r="Q13" s="1045">
        <f t="shared" si="0"/>
        <v>506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368</v>
      </c>
      <c r="AD13" s="1045">
        <f t="shared" si="1"/>
        <v>0</v>
      </c>
      <c r="AE13" s="1045">
        <f t="shared" si="1"/>
        <v>0</v>
      </c>
      <c r="AF13" s="1045">
        <f t="shared" si="1"/>
        <v>144</v>
      </c>
      <c r="AG13" s="1045">
        <f t="shared" si="1"/>
        <v>0</v>
      </c>
      <c r="AH13" s="1045">
        <f t="shared" si="1"/>
        <v>137</v>
      </c>
      <c r="AI13" s="1045">
        <f t="shared" si="1"/>
        <v>0</v>
      </c>
      <c r="AJ13" s="1045">
        <f t="shared" si="1"/>
        <v>0</v>
      </c>
      <c r="AK13" s="1045">
        <f t="shared" si="1"/>
        <v>0</v>
      </c>
      <c r="AL13" s="1045">
        <f t="shared" si="1"/>
        <v>0</v>
      </c>
      <c r="AM13" s="1045">
        <f t="shared" si="1"/>
        <v>7001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401</v>
      </c>
      <c r="BD13" s="1045">
        <f t="shared" si="1"/>
        <v>797</v>
      </c>
      <c r="BE13" s="1045">
        <f t="shared" si="1"/>
        <v>0</v>
      </c>
      <c r="BF13" s="1045">
        <f t="shared" si="1"/>
        <v>0</v>
      </c>
      <c r="BG13" s="1045">
        <f>IF(ISNUMBER(Datos!K13/Datos!J13),Datos!K13/Datos!J13," - ")</f>
        <v>0.67922283901665348</v>
      </c>
      <c r="BH13" s="1049">
        <f>IF(ISNUMBER(((Datos!L13/Datos!K13)*11)/factor_trimestre),((Datos!L13/Datos!K13)*11)/factor_trimestre," - ")</f>
        <v>11.756567425569177</v>
      </c>
      <c r="BI13" s="1045">
        <f>IF(ISNUMBER('Resol  Asuntos'!D13/NºAsuntos!G13),'Resol  Asuntos'!D13/NºAsuntos!G13," - ")</f>
        <v>0.21535982814178303</v>
      </c>
      <c r="BJ13" s="1045" t="str">
        <f>IF(ISNUMBER(Datos!CI13/Datos!CJ13),Datos!CI13/Datos!CJ13," - ")</f>
        <v xml:space="preserve"> - </v>
      </c>
      <c r="BK13" s="1045">
        <f>SUBTOTAL(9,BK8:BK12)</f>
        <v>0</v>
      </c>
      <c r="BL13" s="1045">
        <f>IF(ISNUMBER((I13-AB13+L13)/(F13)),(I13-AB13+L13)/(F13)," - ")</f>
        <v>-0.13821138211382114</v>
      </c>
      <c r="BM13" s="1050">
        <f>SUBTOTAL(9,BM9:BM12)</f>
        <v>2.0324005891016201E-2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1865</v>
      </c>
      <c r="G15" s="650">
        <f>IF(ISNUMBER(IF(D_I="SI",Datos!I15,Datos!I15+Datos!AC15)),IF(D_I="SI",Datos!I15,Datos!I15+Datos!AC15)," - ")</f>
        <v>1834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61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4066</v>
      </c>
      <c r="AC15" s="230">
        <f>IF(ISNUMBER(Datos!Q15),Datos!Q15," - ")</f>
        <v>91</v>
      </c>
      <c r="AD15" s="343"/>
      <c r="AE15" s="515"/>
      <c r="AF15" s="648">
        <f>IF(ISNUMBER(IF(D_I="SI",Datos!L15,Datos!L15+Datos!AF15)),IF(D_I="SI",Datos!L15,Datos!L15+Datos!AF15)," - ")</f>
        <v>1865</v>
      </c>
      <c r="AG15" s="343"/>
      <c r="AH15" s="343"/>
      <c r="AI15" s="343"/>
      <c r="AJ15" s="503"/>
      <c r="AK15" s="343"/>
      <c r="AL15" s="499"/>
      <c r="AM15" s="344">
        <f>IF(ISNUMBER(Datos!R15),Datos!R15," - ")</f>
        <v>197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307</v>
      </c>
      <c r="BD15" s="233">
        <f>IF(ISNUMBER(Datos!N15),Datos!N15," - ")</f>
        <v>2818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v>
      </c>
      <c r="BH15" s="669">
        <f>IF(ISNUMBER(((IF(D_I="SI",Datos!L15/Datos!K15,(Datos!L15+Datos!AF15)/(Datos!K15+Datos!AE15)))*11)/factor_trimestre),((IF(D_I="SI",Datos!L15/Datos!K15,(Datos!L15+Datos!AF15)/(Datos!K15+Datos!AE15)))*11)/factor_trimestre," - ")</f>
        <v>1.3760452533202165</v>
      </c>
      <c r="BI15" s="247">
        <f>IF(ISNUMBER('Resol  Asuntos'!D15/NºAsuntos!G15),'Resol  Asuntos'!D15/NºAsuntos!G15," - ")</f>
        <v>7.5504181013280866E-2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289</v>
      </c>
      <c r="AC17" s="501">
        <f>IF(ISNUMBER(Datos!Q17),Datos!Q17," - ")</f>
        <v>3</v>
      </c>
      <c r="AD17" s="503"/>
      <c r="AE17" s="515"/>
      <c r="AF17" s="505">
        <f>IF(ISNUMBER(Datos!L17),Datos!L17,"-")</f>
        <v>351</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32</v>
      </c>
      <c r="BD17" s="619">
        <f>IF(ISNUMBER(Datos!N17),Datos!N17," - ")</f>
        <v>160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0.96333333333333337</v>
      </c>
      <c r="BH17" s="669">
        <f>IF(ISNUMBER(((IF(D_I="SI",Datos!L17/Datos!K17,(Datos!L17+Datos!AF17)/(Datos!K17+Datos!AE17)))*11)/factor_trimestre),((IF(D_I="SI",Datos!L17/Datos!K17,(Datos!L17+Datos!AF17)/(Datos!K17+Datos!AE17)))*11)/factor_trimestre," - ")</f>
        <v>3.6435986159169551</v>
      </c>
      <c r="BI17" s="668">
        <f>IF(ISNUMBER('Resol  Asuntos'!D17/NºAsuntos!G17),'Resol  Asuntos'!D17/NºAsuntos!G17," - ")</f>
        <v>0.11072664359861592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1865</v>
      </c>
      <c r="G18" s="1044">
        <f>SUBTOTAL(9,G15:G17)</f>
        <v>2164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4355</v>
      </c>
      <c r="AC18" s="1045">
        <f t="shared" si="4"/>
        <v>94</v>
      </c>
      <c r="AD18" s="1045">
        <f t="shared" si="4"/>
        <v>0</v>
      </c>
      <c r="AE18" s="1045">
        <f t="shared" si="4"/>
        <v>0</v>
      </c>
      <c r="AF18" s="1045">
        <f t="shared" si="4"/>
        <v>2216</v>
      </c>
      <c r="AG18" s="1045">
        <f t="shared" si="4"/>
        <v>0</v>
      </c>
      <c r="AH18" s="1045">
        <f t="shared" si="4"/>
        <v>0</v>
      </c>
      <c r="AI18" s="1045">
        <f t="shared" si="4"/>
        <v>0</v>
      </c>
      <c r="AJ18" s="1045">
        <f t="shared" si="4"/>
        <v>0</v>
      </c>
      <c r="AK18" s="1045">
        <f t="shared" si="4"/>
        <v>0</v>
      </c>
      <c r="AL18" s="1045">
        <f t="shared" si="4"/>
        <v>0</v>
      </c>
      <c r="AM18" s="1045">
        <f t="shared" si="4"/>
        <v>207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339</v>
      </c>
      <c r="BD18" s="1045">
        <f t="shared" si="4"/>
        <v>2978</v>
      </c>
      <c r="BE18" s="1045">
        <f t="shared" si="4"/>
        <v>0</v>
      </c>
      <c r="BF18" s="1045">
        <f t="shared" si="4"/>
        <v>0</v>
      </c>
      <c r="BG18" s="1045">
        <f>IF(ISNUMBER(Datos!K18/Datos!J18),Datos!K18/Datos!J18," - ")</f>
        <v>0.99748053137883641</v>
      </c>
      <c r="BH18" s="1049">
        <f>IF(ISNUMBER(((Datos!L18/Datos!K18)*11)/factor_trimestre),((Datos!L18/Datos!K18)*11)/factor_trimestre," - ")</f>
        <v>1.5265212399540757</v>
      </c>
      <c r="BI18" s="1045">
        <f>SUBTOTAL(9,BI15:BI17)</f>
        <v>0.18623082461189677</v>
      </c>
      <c r="BJ18" s="1045">
        <f>SUBTOTAL(9,BJ15:BJ17)</f>
        <v>0</v>
      </c>
      <c r="BK18" s="1045">
        <f>SUBTOTAL(9,BK15:BK17)</f>
        <v>0</v>
      </c>
      <c r="BL18" s="1045">
        <f>IF(ISNUMBER((I18-AB18+L18)/(F18)),(I18-AB18+L18)/(F18)," - ")</f>
        <v>-2.3351206434316354</v>
      </c>
      <c r="BM18" s="1051">
        <f>IF(ISNUMBER((Datos!P18-Datos!Q18)/(Datos!R18-Datos!P18+Datos!Q18)),(Datos!P18-Datos!Q18)/(Datos!R18-Datos!P18+Datos!Q18)," - ")</f>
        <v>-0.11914893617021277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1988</v>
      </c>
      <c r="G19" s="966">
        <f t="shared" si="6"/>
        <v>2287</v>
      </c>
      <c r="H19" s="968">
        <f t="shared" si="6"/>
        <v>0</v>
      </c>
      <c r="I19" s="966">
        <f t="shared" si="6"/>
        <v>0</v>
      </c>
      <c r="J19" s="968">
        <f t="shared" si="6"/>
        <v>0</v>
      </c>
      <c r="K19" s="968">
        <f t="shared" si="6"/>
        <v>0</v>
      </c>
      <c r="L19" s="1027">
        <f t="shared" si="6"/>
        <v>0</v>
      </c>
      <c r="M19" s="1027">
        <f t="shared" si="6"/>
        <v>0</v>
      </c>
      <c r="N19" s="1027">
        <f t="shared" si="6"/>
        <v>148</v>
      </c>
      <c r="O19" s="1027">
        <f t="shared" si="6"/>
        <v>0</v>
      </c>
      <c r="P19" s="1027">
        <f t="shared" si="6"/>
        <v>0</v>
      </c>
      <c r="Q19" s="968">
        <f t="shared" si="6"/>
        <v>572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4372</v>
      </c>
      <c r="AC19" s="967">
        <f t="shared" si="7"/>
        <v>462</v>
      </c>
      <c r="AD19" s="967">
        <f t="shared" si="7"/>
        <v>0</v>
      </c>
      <c r="AE19" s="967">
        <f t="shared" si="7"/>
        <v>0</v>
      </c>
      <c r="AF19" s="974">
        <f t="shared" si="7"/>
        <v>2360</v>
      </c>
      <c r="AG19" s="974">
        <f t="shared" si="7"/>
        <v>0</v>
      </c>
      <c r="AH19" s="974">
        <f t="shared" si="7"/>
        <v>137</v>
      </c>
      <c r="AI19" s="974">
        <f t="shared" si="7"/>
        <v>0</v>
      </c>
      <c r="AJ19" s="967">
        <f t="shared" si="7"/>
        <v>0</v>
      </c>
      <c r="AK19" s="974">
        <f t="shared" si="7"/>
        <v>0</v>
      </c>
      <c r="AL19" s="974">
        <f t="shared" si="7"/>
        <v>0</v>
      </c>
      <c r="AM19" s="974">
        <f t="shared" si="7"/>
        <v>7208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740</v>
      </c>
      <c r="BD19" s="966">
        <f t="shared" si="7"/>
        <v>3775</v>
      </c>
      <c r="BE19" s="966">
        <f t="shared" si="7"/>
        <v>0</v>
      </c>
      <c r="BF19" s="976">
        <f t="shared" si="7"/>
        <v>0</v>
      </c>
      <c r="BG19" s="1061">
        <f>IF(ISNUMBER(Datos!K19/Datos!J19),Datos!K19/Datos!J19," - ")</f>
        <v>0.88095238095238093</v>
      </c>
      <c r="BH19" s="1061">
        <f>IF(ISNUMBER(((Datos!L19/Datos!K19)*11)/factor_trimestre),((Datos!L19/Datos!K19)*11)/factor_trimestre," - ")</f>
        <v>4.4144693473961771</v>
      </c>
      <c r="BI19" s="959">
        <f>IF(ISNUMBER(Datos!J19/Datos!I19),Datos!J19/Datos!I19," - ")</f>
        <v>0.85374318294496776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-2.1991951710261568</v>
      </c>
      <c r="BM19" s="1035">
        <f>IF(ISNUMBER((Datos!P19-Datos!Q19+R19)/(Datos!R19-Datos!P19+Datos!Q19-R19)),(Datos!P19-Datos!Q19+R19)/(Datos!R19-Datos!P19+Datos!Q19-R19)," - ")</f>
        <v>1.5497323189630883E-2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914.8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1005.7441689283281</v>
      </c>
      <c r="G21" s="600">
        <f>IF(ISNUMBER(STDEV(G8:G18)),STDEV(G8:G18),"-")</f>
        <v>1000.1643364967579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2252.2751164100714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180.42690117237692</v>
      </c>
      <c r="BD21" s="599"/>
      <c r="BE21" s="599">
        <f>IF(ISNUMBER(STDEV(BE8:BE18)),STDEV(BE8:BE18),"-")</f>
        <v>0</v>
      </c>
      <c r="BF21" s="604">
        <f>IF(ISNUMBER(STDEV(BF8:BF18)),STDEV(BF8:BF18),"-")</f>
        <v>0</v>
      </c>
      <c r="BG21" s="914">
        <f>IF(ISNUMBER(STDEV(BG8:BG18)),STDEV(BG8:BG18),"-")</f>
        <v>0.22556304870699656</v>
      </c>
      <c r="BH21" s="918">
        <f>IF(ISNUMBER(STDEV(BH8:BH18)),STDEV(BH8:BH18),"-")</f>
        <v>9.1997280946017934</v>
      </c>
      <c r="BI21" s="253">
        <f>IF(ISNUMBER(STDEV(BI8:BI18)),STDEV(BI8:BI18),"-")</f>
        <v>6.4908972807885115E-2</v>
      </c>
      <c r="BJ21" s="234" t="str">
        <f>IF(ISNUMBER(BL21/BM21),BL21/BM21," - ")</f>
        <v xml:space="preserve"> - </v>
      </c>
      <c r="BK21" s="626"/>
      <c r="BL21" s="607">
        <f>IF(ISNUMBER(STDEV(BL8:BL18)),STDEV(BL8:BL18),"-")</f>
        <v>1.5534494363293554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FUOgZvYbuDUDhqwhVKP6fHYISwhEtW+LMHfFft4o0JZfaQCsDDiBMtqdYBqrQuwSS5dpsPG9dKCisZqYdfKOA==" saltValue="pvkyPIDsg9ZdkVc7fSrM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TORREMOLINOS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502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364</v>
      </c>
      <c r="AA9" s="505" t="str">
        <f>IF(ISNUMBER(IF(J_V="SI",Datos!L9,Datos!L9+Datos!AB9)-IF(Monitorios="SI",Datos!CD9,0)),
                          IF(J_V="SI",Datos!L9,Datos!L9+Datos!AB9)-IF(Monitorios="SI",Datos!CD9,0),
                          " - ")</f>
        <v xml:space="preserve"> - </v>
      </c>
      <c r="AB9" s="503"/>
      <c r="AC9" s="503"/>
      <c r="AD9" s="516"/>
      <c r="AE9" s="516">
        <f>IF(ISNUMBER(Datos!R9),Datos!R9," - ")</f>
        <v>6928</v>
      </c>
      <c r="AF9" s="619" t="str">
        <f>IF(ISNUMBER(Datos!BV9),Datos!BV9," - ")</f>
        <v xml:space="preserve"> - </v>
      </c>
      <c r="AG9" s="506" t="str">
        <f>IF(ISNUMBER(Datos!DV9),Datos!DV9," - ")</f>
        <v xml:space="preserve"> - </v>
      </c>
      <c r="AH9" s="507"/>
      <c r="AI9" s="508"/>
      <c r="AJ9" s="506">
        <f>IF(ISNUMBER(Datos!M9),Datos!M9," - ")</f>
        <v>396</v>
      </c>
      <c r="AK9" s="619">
        <f>IF(ISNUMBER(Datos!N9),Datos!N9," - ")</f>
        <v>789</v>
      </c>
      <c r="AL9" s="619" t="str">
        <f>IF(ISNUMBER(Datos!BW9),Datos!BW9," - ")</f>
        <v xml:space="preserve"> - </v>
      </c>
      <c r="AM9" s="667" t="str">
        <f>IF(ISNUMBER(Datos!BX9),Datos!BX9," - ")</f>
        <v xml:space="preserve"> - </v>
      </c>
      <c r="AN9" s="668"/>
      <c r="AO9" s="669">
        <f>IF(ISNUMBER(((NºAsuntos!I9/NºAsuntos!G9)*11)/factor_trimestre),((NºAsuntos!I9/NºAsuntos!G9)*11)/factor_trimestre," - ")</f>
        <v>10.904065040650407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2.0324005891016201E-2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123</v>
      </c>
      <c r="G10" s="506">
        <f>IF(ISNUMBER(Datos!I10),Datos!I10," - ")</f>
        <v>123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4</v>
      </c>
      <c r="AA10" s="505">
        <f>IF(ISNUMBER(Datos!L10),Datos!L10,"-")</f>
        <v>144</v>
      </c>
      <c r="AB10" s="503"/>
      <c r="AC10" s="503"/>
      <c r="AD10" s="516"/>
      <c r="AE10" s="516">
        <f>IF(ISNUMBER(Datos!R10),Datos!R10," - ")</f>
        <v>73</v>
      </c>
      <c r="AF10" s="619" t="str">
        <f>IF(ISNUMBER(Datos!BV10),Datos!BV10," - ")</f>
        <v xml:space="preserve"> - </v>
      </c>
      <c r="AG10" s="506" t="str">
        <f>IF(ISNUMBER(Datos!DV10),Datos!DV10," - ")</f>
        <v xml:space="preserve"> - </v>
      </c>
      <c r="AH10" s="507"/>
      <c r="AI10" s="508"/>
      <c r="AJ10" s="506">
        <f>IF(ISNUMBER(Datos!M10),Datos!M10," - ")</f>
        <v>5</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25.411764705882351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123</v>
      </c>
      <c r="G13" s="1044">
        <f>SUBTOTAL(9,G8:G12)</f>
        <v>123</v>
      </c>
      <c r="H13" s="1054"/>
      <c r="I13" s="1044">
        <f t="shared" ref="I13:N13" si="0">SUBTOTAL(9,I8:I12)</f>
        <v>0</v>
      </c>
      <c r="J13" s="1013">
        <f t="shared" si="0"/>
        <v>0</v>
      </c>
      <c r="K13" s="1054">
        <f t="shared" si="0"/>
        <v>0</v>
      </c>
      <c r="L13" s="1054">
        <f t="shared" si="0"/>
        <v>0</v>
      </c>
      <c r="M13" s="1054">
        <f t="shared" si="0"/>
        <v>0</v>
      </c>
      <c r="N13" s="1054">
        <f t="shared" si="0"/>
        <v>506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368</v>
      </c>
      <c r="AA13" s="1046">
        <f t="shared" si="2"/>
        <v>144</v>
      </c>
      <c r="AB13" s="1046">
        <f t="shared" si="2"/>
        <v>0</v>
      </c>
      <c r="AC13" s="1046">
        <f t="shared" si="2"/>
        <v>0</v>
      </c>
      <c r="AD13" s="1046">
        <f t="shared" si="2"/>
        <v>0</v>
      </c>
      <c r="AE13" s="1046">
        <f t="shared" si="2"/>
        <v>7001</v>
      </c>
      <c r="AF13" s="1054">
        <f t="shared" si="2"/>
        <v>0</v>
      </c>
      <c r="AG13" s="1054">
        <f t="shared" si="2"/>
        <v>0</v>
      </c>
      <c r="AH13" s="1054">
        <f t="shared" si="2"/>
        <v>0</v>
      </c>
      <c r="AI13" s="1054">
        <f t="shared" si="2"/>
        <v>0</v>
      </c>
      <c r="AJ13" s="1054">
        <f t="shared" si="2"/>
        <v>401</v>
      </c>
      <c r="AK13" s="1054">
        <f t="shared" si="2"/>
        <v>797</v>
      </c>
      <c r="AL13" s="1054">
        <f t="shared" si="2"/>
        <v>0</v>
      </c>
      <c r="AM13" s="1054">
        <f t="shared" si="2"/>
        <v>0</v>
      </c>
      <c r="AN13" s="1054">
        <f t="shared" si="2"/>
        <v>0</v>
      </c>
      <c r="AO13" s="1050">
        <f>IF(ISNUMBER(((NºAsuntos!I13/NºAsuntos!G13)*11)/factor_trimestre),((NºAsuntos!I13/NºAsuntos!G13)*11)/factor_trimestre," - ")</f>
        <v>11.036519871106339</v>
      </c>
      <c r="AP13" s="1056" t="str">
        <f>IF(ISNUMBER(Datos!CI13/Datos!CJ13),Datos!CI13/Datos!CJ13," - ")</f>
        <v xml:space="preserve"> - </v>
      </c>
      <c r="AQ13" s="1074">
        <f t="shared" ref="AQ13:AV13" si="3">SUBTOTAL(9,AQ9:AQ12)</f>
        <v>0</v>
      </c>
      <c r="AR13" s="1074">
        <f t="shared" si="3"/>
        <v>2.0324005891016201E-2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1865</v>
      </c>
      <c r="G15" s="506">
        <f>IF(ISNUMBER(IF(D_I="SI",Datos!I15,Datos!I15+Datos!AC15)),IF(D_I="SI",Datos!I15,Datos!I15+Datos!AC15)," - ")</f>
        <v>1834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61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4066</v>
      </c>
      <c r="Z15" s="703">
        <f>IF(ISNUMBER(Datos!Q15),Datos!Q15," - ")</f>
        <v>91</v>
      </c>
      <c r="AA15" s="505">
        <f>IF(ISNUMBER(IF(D_I="SI",Datos!L15,Datos!L15+Datos!AF15)),IF(D_I="SI",Datos!L15,Datos!L15+Datos!AF15)," - ")</f>
        <v>1865</v>
      </c>
      <c r="AB15" s="503"/>
      <c r="AC15" s="503"/>
      <c r="AD15" s="516"/>
      <c r="AE15" s="516">
        <f>IF(ISNUMBER(Datos!R15),Datos!R15," - ")</f>
        <v>197</v>
      </c>
      <c r="AF15" s="619" t="str">
        <f>IF(ISNUMBER(Datos!BV15),Datos!BV15," - ")</f>
        <v xml:space="preserve"> - </v>
      </c>
      <c r="AG15" s="506"/>
      <c r="AH15" s="507"/>
      <c r="AI15" s="508"/>
      <c r="AJ15" s="506">
        <f>IF(ISNUMBER(Datos!M15),Datos!M15," - ")</f>
        <v>307</v>
      </c>
      <c r="AK15" s="619">
        <f>IF(ISNUMBER(Datos!N15),Datos!N15," - ")</f>
        <v>2818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1.3760452533202165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289</v>
      </c>
      <c r="Z17" s="703">
        <f>IF(ISNUMBER(Datos!Q17),Datos!Q17," - ")</f>
        <v>3</v>
      </c>
      <c r="AA17" s="505">
        <f>IF(ISNUMBER(Datos!L17),Datos!L17,"-")</f>
        <v>351</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32</v>
      </c>
      <c r="AK17" s="619">
        <f>IF(ISNUMBER(Datos!N17),Datos!N17," - ")</f>
        <v>160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3.6435986159169551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1865</v>
      </c>
      <c r="G18" s="1044">
        <f>SUBTOTAL(9,G15:G17)</f>
        <v>2164</v>
      </c>
      <c r="H18" s="1078">
        <f>SUBTOTAL(9,H15:H17)</f>
        <v>0</v>
      </c>
      <c r="I18" s="1057">
        <f>SUBTOTAL(9,I15:I17)</f>
        <v>0</v>
      </c>
      <c r="J18" s="1013">
        <f>SUBTOTAL(9,J14:J17)</f>
        <v>0</v>
      </c>
      <c r="K18" s="1078">
        <f t="shared" ref="K18:S18" si="4">SUBTOTAL(9,K15:K17)</f>
        <v>0</v>
      </c>
      <c r="L18" s="1078">
        <f t="shared" si="4"/>
        <v>0</v>
      </c>
      <c r="M18" s="1078">
        <f t="shared" si="4"/>
        <v>0</v>
      </c>
      <c r="N18" s="1078">
        <f t="shared" si="4"/>
        <v>66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4355</v>
      </c>
      <c r="Z18" s="1078">
        <f t="shared" si="5"/>
        <v>94</v>
      </c>
      <c r="AA18" s="1078">
        <f t="shared" si="5"/>
        <v>2216</v>
      </c>
      <c r="AB18" s="1078">
        <f t="shared" si="5"/>
        <v>0</v>
      </c>
      <c r="AC18" s="1078">
        <f t="shared" si="5"/>
        <v>0</v>
      </c>
      <c r="AD18" s="1078">
        <f t="shared" si="5"/>
        <v>0</v>
      </c>
      <c r="AE18" s="1078">
        <f t="shared" si="5"/>
        <v>207</v>
      </c>
      <c r="AF18" s="1078">
        <f t="shared" si="5"/>
        <v>0</v>
      </c>
      <c r="AG18" s="1078">
        <f t="shared" si="5"/>
        <v>0</v>
      </c>
      <c r="AH18" s="1078">
        <f t="shared" si="5"/>
        <v>0</v>
      </c>
      <c r="AI18" s="1078">
        <f t="shared" si="5"/>
        <v>0</v>
      </c>
      <c r="AJ18" s="1078">
        <f t="shared" si="5"/>
        <v>339</v>
      </c>
      <c r="AK18" s="1078">
        <f t="shared" si="5"/>
        <v>2978</v>
      </c>
      <c r="AL18" s="1078">
        <f t="shared" si="5"/>
        <v>0</v>
      </c>
      <c r="AM18" s="1078">
        <f t="shared" si="5"/>
        <v>0</v>
      </c>
      <c r="AN18" s="1078">
        <f t="shared" si="5"/>
        <v>0</v>
      </c>
      <c r="AO18" s="1080">
        <f>IF(ISNUMBER(((NºAsuntos!I18/NºAsuntos!G18)*11)/factor_trimestre),((NºAsuntos!I18/NºAsuntos!G18)*11)/factor_trimestre," - ")</f>
        <v>1.5265212399540757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1988</v>
      </c>
      <c r="G19" s="966">
        <f t="shared" si="7"/>
        <v>2287</v>
      </c>
      <c r="H19" s="967">
        <f t="shared" si="7"/>
        <v>0</v>
      </c>
      <c r="I19" s="966">
        <f t="shared" si="7"/>
        <v>0</v>
      </c>
      <c r="J19" s="968">
        <f t="shared" si="7"/>
        <v>0</v>
      </c>
      <c r="K19" s="966">
        <f t="shared" si="7"/>
        <v>0</v>
      </c>
      <c r="L19" s="969">
        <f t="shared" si="7"/>
        <v>0</v>
      </c>
      <c r="M19" s="966">
        <f t="shared" si="7"/>
        <v>0</v>
      </c>
      <c r="N19" s="967">
        <f t="shared" si="7"/>
        <v>572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4372</v>
      </c>
      <c r="Z19" s="973">
        <f t="shared" si="8"/>
        <v>462</v>
      </c>
      <c r="AA19" s="974">
        <f t="shared" si="8"/>
        <v>2360</v>
      </c>
      <c r="AB19" s="974">
        <f t="shared" si="8"/>
        <v>0</v>
      </c>
      <c r="AC19" s="974">
        <f t="shared" si="8"/>
        <v>0</v>
      </c>
      <c r="AD19" s="975">
        <f t="shared" si="8"/>
        <v>0</v>
      </c>
      <c r="AE19" s="975">
        <f t="shared" si="8"/>
        <v>7208</v>
      </c>
      <c r="AF19" s="976">
        <f t="shared" si="8"/>
        <v>0</v>
      </c>
      <c r="AG19" s="977">
        <f t="shared" si="8"/>
        <v>0</v>
      </c>
      <c r="AH19" s="978">
        <f t="shared" si="8"/>
        <v>0</v>
      </c>
      <c r="AI19" s="976">
        <f t="shared" si="8"/>
        <v>0</v>
      </c>
      <c r="AJ19" s="966">
        <f t="shared" si="8"/>
        <v>740</v>
      </c>
      <c r="AK19" s="966">
        <f t="shared" si="8"/>
        <v>3775</v>
      </c>
      <c r="AL19" s="966">
        <f t="shared" si="8"/>
        <v>0</v>
      </c>
      <c r="AM19" s="979">
        <f t="shared" si="8"/>
        <v>0</v>
      </c>
      <c r="AN19" s="969">
        <f>IF(ISNUMBER(Datos!K19/Datos!J19),Datos!K19/Datos!J19," - ")</f>
        <v>0.88095238095238093</v>
      </c>
      <c r="AO19" s="969">
        <f>IF(ISNUMBER(FIND("06",Criterios!A8,1)),(IF(ISNUMBER(((Datos!R19/Datos!Q19)*11)/factor_trimestre),((Datos!R19/Datos!Q19)*11)/factor_trimestre," - ")),(IF(ISNUMBER(((Datos!L19/Datos!K19)*11)/factor_trimestre),((Datos!L19/Datos!K19)*11)/factor_trimestre," - ")))</f>
        <v>4.4144693473961771</v>
      </c>
      <c r="AP19" s="980" t="str">
        <f>IF(ISNUMBER(Datos!CI19/Datos!CJ19),Datos!CI19/Datos!CJ19," - ")</f>
        <v xml:space="preserve"> - </v>
      </c>
      <c r="AQ19" s="980">
        <f>IF(OR(ISNUMBER(FIND("01",Criterios!A8,1)),ISNUMBER(FIND("02",Criterios!A8,1)),ISNUMBER(FIND("03",Criterios!A8,1)),ISNUMBER(FIND("04",Criterios!A8,1))),(J19-Y19+K19)/(F19-K19),(I19-Y19+K19)/(F19-K19))</f>
        <v>-2.1991951710261568</v>
      </c>
      <c r="AR19" s="980">
        <f>IF(ISNUMBER((Datos!P19-Datos!Q19+O19)/(Datos!R19-Datos!P19+Datos!Q19-O19)),(Datos!P19-Datos!Q19+O19)/(Datos!R19-Datos!P19+Datos!Q19-O19)," - ")</f>
        <v>1.5497323189630883E-2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914.8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1005.7441689283281</v>
      </c>
      <c r="G21" s="600">
        <f>IF(ISNUMBER(STDEV(G8:G18)),STDEV(G8:G18),"-")</f>
        <v>1000.1643364967579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180.42690117237692</v>
      </c>
      <c r="AK21" s="256"/>
      <c r="AL21" s="256">
        <f>IF(ISNUMBER(STDEV(AL8:AL18)),STDEV(AL8:AL18),"-")</f>
        <v>0</v>
      </c>
      <c r="AM21" s="258">
        <f>IF(ISNUMBER(STDEV(AM8:AM18)),STDEV(AM8:AM18),"-")</f>
        <v>0</v>
      </c>
      <c r="AN21" s="586">
        <f>IF(ISNUMBER(STDEV(AN8:AN18)),STDEV(AN8:AN18),"-")</f>
        <v>0</v>
      </c>
      <c r="AO21" s="587">
        <f>IF(ISNUMBER(STDEV(AO8:AO18)),STDEV(AO8:AO18),"-")</f>
        <v>9.1628138432025796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KMH73RCtQeCMTBdCVKi1+af0x966S07mxbeZxsAyn6iKWXLPYT3Zi4f2sueHRxbDrt5xRO/uHYSTxMOhZF6kA==" saltValue="qacEtg4UNSgY8tIfdOb0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DSu004aevuTpH0ItqBCcO9qONWtWwD1utnqWtAgJEi7WCwQY4Ar+T1xaBiSGBaB3+IXDRt7quLf0q/OMGHGGg==" saltValue="QOxfMio+PvKxDopWzuwk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1/ZrQea+kesBLjggf4xSo5X5AlqqFGP/8nUMVhc4YBtbRG3gYUA2hmAawYdhG/OdzQ9A02LUlasjfQ/m+ty9A==" saltValue="6P4mungBvEOd7jYu53n3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TORREMOLINOS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0.21535982814178303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0.15228239487422426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gvCmDPcwHzztgJ3gU4csANV7xWCavE8ub2NgFLcZzmfePXTtmv/rxkrayKDpeX+DZERSmST+YQKX1scfxx9fQ==" saltValue="R9U3V6o2bxM8rYCkHG/G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oBCLK7bV9FR9KDCMzmu4OukFjkMpSDNaSn/tOvC6yvepwcPRP5tSaw9d9qQNGhx1G7PKsNy3SfpU30I5OJ9lg==" saltValue="KC84oU2uuUIyxKc41oGh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TORREMOLINOS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5919</v>
      </c>
      <c r="D9" s="415">
        <f>IF(ISNUMBER(C9/Datos!BH9),C9/Datos!BH9," - ")</f>
        <v>1183.8</v>
      </c>
      <c r="E9" s="414">
        <f>IF(ISNUMBER(IF(J_V="SI",Datos!J9,Datos!J9+Datos!Z9)),IF(J_V="SI",Datos!J9,Datos!J9+Datos!Z9)," - ")</f>
        <v>2632</v>
      </c>
      <c r="F9" s="415">
        <f>IF(ISNUMBER(E9/B9),E9/B9," - ")</f>
        <v>526.4</v>
      </c>
      <c r="G9" s="414">
        <f>IF(ISNUMBER(IF(J_V="SI",Datos!K9,Datos!K9+Datos!AA9)),IF(J_V="SI",Datos!K9,Datos!K9+Datos!AA9)," - ")</f>
        <v>1845</v>
      </c>
      <c r="H9" s="415">
        <f>IF(ISNUMBER(G9/B9),G9/B9," - ")</f>
        <v>369</v>
      </c>
      <c r="I9" s="414">
        <f>IF(ISNUMBER(IF(J_V="SI",Datos!L9,Datos!L9+Datos!AB9)),IF(J_V="SI",Datos!L9,Datos!L9+Datos!AB9)," - ")</f>
        <v>6706</v>
      </c>
      <c r="J9" s="415">
        <f>IF(ISNUMBER(I9/B9),I9/B9," - ")</f>
        <v>1341.2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123</v>
      </c>
      <c r="D10" s="415">
        <f>IF(ISNUMBER(C10/Datos!BH10),C10/Datos!BH10," - ")</f>
        <v>123</v>
      </c>
      <c r="E10" s="414">
        <f>IF(ISNUMBER(Datos!J10),Datos!J10," - ")</f>
        <v>38</v>
      </c>
      <c r="F10" s="415">
        <f>IF(ISNUMBER(E10/B10),E10/B10," - ")</f>
        <v>38</v>
      </c>
      <c r="G10" s="414">
        <f>IF(ISNUMBER(Datos!K10),Datos!K10," - ")</f>
        <v>17</v>
      </c>
      <c r="H10" s="415">
        <f>IF(ISNUMBER(G10/B10),G10/B10," - ")</f>
        <v>17</v>
      </c>
      <c r="I10" s="414">
        <f>IF(ISNUMBER(Datos!L10),Datos!L10," - ")</f>
        <v>144</v>
      </c>
      <c r="J10" s="415">
        <f>IF(ISNUMBER(I10/B10),I10/B10," - ")</f>
        <v>144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6042</v>
      </c>
      <c r="D13" s="996" t="str">
        <f>IF(ISNUMBER(C13/Datos!BI13),C13/Datos!BI13," - ")</f>
        <v xml:space="preserve"> - </v>
      </c>
      <c r="E13" s="995">
        <f>SUBTOTAL(9,E8:E12)</f>
        <v>2670</v>
      </c>
      <c r="F13" s="996">
        <f>IF(ISNUMBER(E13/B13),E13/B13," - ")</f>
        <v>534</v>
      </c>
      <c r="G13" s="995">
        <f>SUBTOTAL(9,G8:G12)</f>
        <v>1862</v>
      </c>
      <c r="H13" s="996">
        <f>IF(ISNUMBER(G13/B13),G13/B13," - ")</f>
        <v>372.4</v>
      </c>
      <c r="I13" s="995">
        <f>SUBTOTAL(9,I8:I12)</f>
        <v>6850</v>
      </c>
      <c r="J13" s="996">
        <f>IF(ISNUMBER(I13/B13),I13/B13," - ")</f>
        <v>1370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1834</v>
      </c>
      <c r="D15" s="415">
        <f>IF(ISNUMBER(C15/Datos!BH15),C15/Datos!BH15," - ")</f>
        <v>366.8</v>
      </c>
      <c r="E15" s="414">
        <f>IF(ISNUMBER(IF(D_I="SI",Datos!J15,Datos!J15+Datos!AD15)),IF(D_I="SI",Datos!J15,Datos!J15+Datos!AD15)," - ")</f>
        <v>4066</v>
      </c>
      <c r="F15" s="415">
        <f>IF(ISNUMBER(E15/B15),E15/B15," - ")</f>
        <v>813.2</v>
      </c>
      <c r="G15" s="414">
        <f>IF(ISNUMBER(IF(D_I="SI",Datos!K15,Datos!K15+Datos!AE15)),IF(D_I="SI",Datos!K15,Datos!K15+Datos!AE15)," - ")</f>
        <v>4066</v>
      </c>
      <c r="H15" s="415">
        <f>IF(ISNUMBER(G15/B15),G15/B15," - ")</f>
        <v>813.2</v>
      </c>
      <c r="I15" s="414">
        <f>IF(ISNUMBER(IF(D_I="SI",Datos!L15,Datos!L15+Datos!AF15)),IF(D_I="SI",Datos!L15,Datos!L15+Datos!AF15)," - ")</f>
        <v>1865</v>
      </c>
      <c r="J15" s="415">
        <f>IF(ISNUMBER(I15/B15),I15/B15," - ")</f>
        <v>373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330</v>
      </c>
      <c r="D17" s="415">
        <f>IF(ISNUMBER(C17/Datos!BH17),C17/Datos!BH17," - ")</f>
        <v>330</v>
      </c>
      <c r="E17" s="414">
        <f>IF(ISNUMBER(IF(D_I="SI",Datos!J17,Datos!J17+Datos!AD17)),IF(D_I="SI",Datos!J17,Datos!J17+Datos!AD17)," - ")</f>
        <v>300</v>
      </c>
      <c r="F17" s="415">
        <f>IF(ISNUMBER(E17/B17),E17/B17," - ")</f>
        <v>300</v>
      </c>
      <c r="G17" s="414">
        <f>IF(ISNUMBER(IF(D_I="SI",Datos!K17,Datos!K17+Datos!AE17)),IF(D_I="SI",Datos!K17,Datos!K17+Datos!AE17)," - ")</f>
        <v>289</v>
      </c>
      <c r="H17" s="415">
        <f>IF(ISNUMBER(G17/B17),G17/B17," - ")</f>
        <v>289</v>
      </c>
      <c r="I17" s="414">
        <f>IF(ISNUMBER(IF(D_I="SI",Datos!L17,Datos!L17+Datos!AF17)),IF(D_I="SI",Datos!L17,Datos!L17+Datos!AF17)," - ")</f>
        <v>351</v>
      </c>
      <c r="J17" s="415">
        <f>IF(ISNUMBER(I17/B17),I17/B17," - ")</f>
        <v>351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2164</v>
      </c>
      <c r="D18" s="996" t="str">
        <f>IF(ISNUMBER(C18/Datos!BI18),C18/Datos!BI18," - ")</f>
        <v xml:space="preserve"> - </v>
      </c>
      <c r="E18" s="995">
        <f>SUBTOTAL(9,E14:E17)</f>
        <v>4366</v>
      </c>
      <c r="F18" s="996">
        <f>IF(ISNUMBER(E18/B18),E18/B18," - ")</f>
        <v>873.2</v>
      </c>
      <c r="G18" s="995">
        <f>SUBTOTAL(9,G14:G17)</f>
        <v>4355</v>
      </c>
      <c r="H18" s="996">
        <f>IF(ISNUMBER(G18/B18),G18/B18," - ")</f>
        <v>871</v>
      </c>
      <c r="I18" s="995">
        <f>SUBTOTAL(9,I14:I17)</f>
        <v>2216</v>
      </c>
      <c r="J18" s="996">
        <f>IF(ISNUMBER(I18/B18),I18/B18," - ")</f>
        <v>443.2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8206</v>
      </c>
      <c r="D19" s="941" t="str">
        <f>IF(ISNUMBER(C19/Datos!BI19),C19/Datos!BI19," - ")</f>
        <v xml:space="preserve"> - </v>
      </c>
      <c r="E19" s="940">
        <f>SUBTOTAL(9,E9:E18)</f>
        <v>7036</v>
      </c>
      <c r="F19" s="941">
        <f>IF(ISNUMBER(E19/B19),E19/B19," - ")</f>
        <v>703.6</v>
      </c>
      <c r="G19" s="940">
        <f>SUBTOTAL(9,G9:G18)</f>
        <v>6217</v>
      </c>
      <c r="H19" s="941">
        <f>IF(ISNUMBER(G19/B19),G19/B19," - ")</f>
        <v>621.70000000000005</v>
      </c>
      <c r="I19" s="940">
        <f>SUBTOTAL(9,I9:I18)</f>
        <v>9066</v>
      </c>
      <c r="J19" s="941">
        <f>IF(ISNUMBER(I19/B19),I19/B19," - ")</f>
        <v>906.6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XSC+klnxYcDxD0LZ/wyeHKjw4yIY7NhcPIHODQK+NeSz/mA/YaRNkgd23YcnHC6Gas1QoqDO6UKLLjONR7gDw==" saltValue="U3hAGYEY9eWMUrWq1nj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TORREMOLINOS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123</v>
      </c>
      <c r="G10" s="802">
        <f>IF(ISNUMBER(Datos!I10),Datos!I10," - ")</f>
        <v>123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144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25.411764705882351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123</v>
      </c>
      <c r="G13" s="1084">
        <f t="shared" si="0"/>
        <v>123</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0</v>
      </c>
      <c r="AE13" s="1085">
        <f t="shared" si="1"/>
        <v>0</v>
      </c>
      <c r="AF13" s="1085">
        <f t="shared" si="1"/>
        <v>144</v>
      </c>
      <c r="AG13" s="1085">
        <f t="shared" si="1"/>
        <v>0</v>
      </c>
      <c r="AH13" s="1085">
        <f t="shared" si="1"/>
        <v>0</v>
      </c>
      <c r="AI13" s="1085">
        <f t="shared" si="1"/>
        <v>0</v>
      </c>
      <c r="AJ13" s="1085">
        <f t="shared" si="1"/>
        <v>0</v>
      </c>
      <c r="AK13" s="1085">
        <f t="shared" si="1"/>
        <v>0</v>
      </c>
      <c r="AL13" s="1085">
        <f t="shared" si="1"/>
        <v>5</v>
      </c>
      <c r="AM13" s="1085">
        <f t="shared" si="1"/>
        <v>8</v>
      </c>
      <c r="AN13" s="1085">
        <f t="shared" si="1"/>
        <v>0</v>
      </c>
      <c r="AO13" s="1085">
        <f t="shared" si="1"/>
        <v>0</v>
      </c>
      <c r="AP13" s="1090">
        <f>IF(ISNUMBER(((Datos!L13/Datos!K13)*11)/factor_trimestre),((Datos!L13/Datos!K13)*11)/factor_trimestre," - ")</f>
        <v>11.756567425569177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-0.13821138211382114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1.5265212399540757</v>
      </c>
      <c r="AQ18" s="1090">
        <f>IF(ISNUMBER(((Datos!M18/Datos!L18)*11)/factor_trimestre),((Datos!M18/Datos!L18)*11)/factor_trimestre," - ")</f>
        <v>0.4589350180505416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-0.11914893617021277</v>
      </c>
      <c r="AW18" s="1092">
        <f>IF(ISNUMBER((Datos!Q18-Datos!R18)/(Datos!S18-Datos!Q18+Datos!R18)),(Datos!Q18-Datos!R18)/(Datos!S18-Datos!Q18+Datos!R18)," - ")</f>
        <v>-4.7619047619047616E-2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123</v>
      </c>
      <c r="G19" s="1097">
        <f t="shared" si="4"/>
        <v>123</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0</v>
      </c>
      <c r="AE19" s="1103">
        <f t="shared" si="5"/>
        <v>0</v>
      </c>
      <c r="AF19" s="1104">
        <f t="shared" si="5"/>
        <v>144</v>
      </c>
      <c r="AG19" s="1104">
        <f t="shared" si="5"/>
        <v>0</v>
      </c>
      <c r="AH19" s="1104">
        <f t="shared" si="5"/>
        <v>0</v>
      </c>
      <c r="AI19" s="1104">
        <f t="shared" si="5"/>
        <v>0</v>
      </c>
      <c r="AJ19" s="1105">
        <f t="shared" si="5"/>
        <v>0</v>
      </c>
      <c r="AK19" s="1105">
        <f t="shared" si="5"/>
        <v>0</v>
      </c>
      <c r="AL19" s="1097">
        <f t="shared" si="5"/>
        <v>5</v>
      </c>
      <c r="AM19" s="1097">
        <f t="shared" si="5"/>
        <v>8</v>
      </c>
      <c r="AN19" s="1097">
        <f t="shared" si="5"/>
        <v>0</v>
      </c>
      <c r="AO19" s="1097">
        <f t="shared" si="5"/>
        <v>0</v>
      </c>
      <c r="AP19" s="1097">
        <f>IF(ISNUMBER(((Datos!L19/Datos!K19)*11)/factor_trimestre),((Datos!L19/Datos!K19)*11)/factor_trimestre," - ")</f>
        <v>4.4144693473961771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-0.13821138211382114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1.5497323189630883E-2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71.014083110323966</v>
      </c>
      <c r="G21" s="870">
        <f>IF(ISNUMBER(STDEV(G8:G18)),STDEV(G8:G18),"-")</f>
        <v>71.014083110323966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11.983482473462933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14+HSByni2HBdzuV+dlDmRSnOksAs7LcJbaE4gUKb9hf+ULRbuxtjRBKwxu0OKjqyFpPlotlFNGQMAGPmwxfQ==" saltValue="Rs1FPKpfrHoL46l3HFhQ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TORREMOLINOS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fHaK06r9/EMe0accrbbxmo984WT4iX8d+58Hwv4JvTheRxLdjjZ+vA8Zg+PHn6lsbYV6ny9znHRsZgQ6PP8cA==" saltValue="LS7nX2ZfvNjoe1+KpAkz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TORREMOLINOS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396</v>
      </c>
      <c r="E9" s="415">
        <f t="shared" ref="E9:E13" si="0">IF(ISNUMBER(D9/B9),D9/B9," - ")</f>
        <v>79.2</v>
      </c>
      <c r="F9" s="414">
        <f>IF(ISNUMBER(Datos!N9),Datos!N9," - ")</f>
        <v>789</v>
      </c>
      <c r="G9" s="415">
        <f t="shared" ref="G9:G13" si="1">IF(ISNUMBER(F9/B9),F9/B9," - ")</f>
        <v>157.80000000000001</v>
      </c>
      <c r="H9" s="414">
        <f>IF(ISNUMBER(Datos!O9),Datos!O9," - ")</f>
        <v>865</v>
      </c>
      <c r="I9" s="415">
        <f>IF(ISNUMBER(H9/B9),H9/B9," - ")</f>
        <v>173</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8</v>
      </c>
      <c r="G10" s="415">
        <f>IF(ISNUMBER(F10/B10),F10/B10," - ")</f>
        <v>8</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401</v>
      </c>
      <c r="E13" s="996">
        <f t="shared" si="0"/>
        <v>66.833333333333329</v>
      </c>
      <c r="F13" s="995">
        <f>SUBTOTAL(9,F9:F12)</f>
        <v>797</v>
      </c>
      <c r="G13" s="996">
        <f t="shared" si="1"/>
        <v>132.83333333333334</v>
      </c>
      <c r="H13" s="995">
        <f>SUBTOTAL(9,H9:H12)</f>
        <v>872</v>
      </c>
      <c r="I13" s="996">
        <f>IF(ISNUMBER(H13/B13),H13/B13," - ")</f>
        <v>145.33333333333334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307</v>
      </c>
      <c r="E15" s="415">
        <f t="shared" ref="E15:E18" si="3">IF(ISNUMBER(D15/B15),D15/B15," - ")</f>
        <v>61.4</v>
      </c>
      <c r="F15" s="414">
        <f>IF(ISNUMBER(Datos!N15),Datos!N15," - ")</f>
        <v>2818</v>
      </c>
      <c r="G15" s="415">
        <f t="shared" ref="G15:G18" si="4">IF(ISNUMBER(F15/B15),F15/B15," - ")</f>
        <v>563.6</v>
      </c>
      <c r="H15" s="414">
        <f>IF(ISNUMBER(Datos!O15),Datos!O15," - ")</f>
        <v>66</v>
      </c>
      <c r="I15" s="415">
        <f t="shared" ref="I15:I17" si="5">IF(ISNUMBER(H15/B15),H15/B15," - ")</f>
        <v>13.2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32</v>
      </c>
      <c r="E17" s="415">
        <f>IF(ISNUMBER(D17/B17),D17/B17," - ")</f>
        <v>32</v>
      </c>
      <c r="F17" s="414">
        <f>IF(ISNUMBER(Datos!N17),Datos!N17," - ")</f>
        <v>160</v>
      </c>
      <c r="G17" s="415">
        <f>IF(ISNUMBER(F17/B17),F17/B17," - ")</f>
        <v>160</v>
      </c>
      <c r="H17" s="414">
        <f>IF(ISNUMBER(Datos!O17),Datos!O17," - ")</f>
        <v>0</v>
      </c>
      <c r="I17" s="415">
        <f t="shared" si="5"/>
        <v>0</v>
      </c>
    </row>
    <row r="18" spans="1:9" ht="14.25" thickTop="1" thickBot="1">
      <c r="A18" s="994" t="str">
        <f>Datos!A18</f>
        <v>TOTAL</v>
      </c>
      <c r="B18" s="995">
        <f>Datos!AO18</f>
        <v>6</v>
      </c>
      <c r="C18" s="997">
        <f>Datos!AR18</f>
        <v>5</v>
      </c>
      <c r="D18" s="995">
        <f>SUBTOTAL(9,D15:D17)</f>
        <v>339</v>
      </c>
      <c r="E18" s="996">
        <f t="shared" si="3"/>
        <v>56.5</v>
      </c>
      <c r="F18" s="995">
        <f>SUBTOTAL(9,F15:F17)</f>
        <v>2978</v>
      </c>
      <c r="G18" s="996">
        <f t="shared" si="4"/>
        <v>496.33333333333331</v>
      </c>
      <c r="H18" s="995">
        <f>SUBTOTAL(9,H15:H17)</f>
        <v>66</v>
      </c>
      <c r="I18" s="996">
        <f>IF(ISNUMBER(H18/B18),H18/B18," - ")</f>
        <v>11</v>
      </c>
    </row>
    <row r="19" spans="1:9" ht="14.25" thickTop="1" thickBot="1">
      <c r="A19" s="939" t="str">
        <f>Datos!A19</f>
        <v>TOTAL JURISDICCIONES</v>
      </c>
      <c r="B19" s="940">
        <f>Datos!AP19</f>
        <v>10</v>
      </c>
      <c r="C19" s="940">
        <f>Datos!AR19</f>
        <v>10</v>
      </c>
      <c r="D19" s="940">
        <f>SUBTOTAL(9,D8:D18)</f>
        <v>740</v>
      </c>
      <c r="E19" s="941">
        <f>IF(ISNUMBER(D19/B19),D19/B19," - ")</f>
        <v>74</v>
      </c>
      <c r="F19" s="940">
        <f>SUBTOTAL(9,F8:F18)</f>
        <v>3775</v>
      </c>
      <c r="G19" s="941">
        <f>IF(ISNUMBER(F19/B19),F19/B19," - ")</f>
        <v>377.5</v>
      </c>
      <c r="H19" s="940">
        <f>SUBTOTAL(9,H8:H18)</f>
        <v>938</v>
      </c>
      <c r="I19" s="941">
        <f>IF(ISNUMBER(H19/B19),H19/B19," - ")</f>
        <v>93.8</v>
      </c>
    </row>
    <row r="22" spans="1:9">
      <c r="A22" s="402" t="str">
        <f>Criterios!A4</f>
        <v>Fecha Informe: 06 oct. 2023</v>
      </c>
    </row>
    <row r="27" spans="1:9">
      <c r="A27" s="425"/>
    </row>
  </sheetData>
  <sheetProtection algorithmName="SHA-512" hashValue="pAjWDE+TMoUlP/gWiPlE8X7U9YspxuzMPB2XI+S/D+slrx8lsCcOzsEklOJkNB/n84/ERUjLLB/HXXscjwygCg==" saltValue="VjUqZZOUFovR+ql3NpIa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TORREMOLINOS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502</v>
      </c>
      <c r="C9" s="450">
        <f>IF(ISNUMBER(Datos!Q9),Datos!Q9," - ")</f>
        <v>364</v>
      </c>
      <c r="D9" s="419">
        <f>IF(ISNUMBER(Datos!R9),Datos!R9," - ")</f>
        <v>6928</v>
      </c>
    </row>
    <row r="10" spans="1:4">
      <c r="A10" s="413" t="str">
        <f>Datos!A10</f>
        <v>Jdos. Violencia contra la mujer</v>
      </c>
      <c r="B10" s="449">
        <f>IF(ISNUMBER(Datos!P10),Datos!P10," - ")</f>
        <v>4</v>
      </c>
      <c r="C10" s="450">
        <f>IF(ISNUMBER(Datos!Q10),Datos!Q10," - ")</f>
        <v>4</v>
      </c>
      <c r="D10" s="419">
        <f>IF(ISNUMBER(Datos!R10),Datos!R10," - ")</f>
        <v>73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506</v>
      </c>
      <c r="C13" s="999">
        <f>SUBTOTAL(9,C9:C12)</f>
        <v>368</v>
      </c>
      <c r="D13" s="997">
        <f>SUBTOTAL(9,D9:D12)</f>
        <v>7001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61</v>
      </c>
      <c r="C15" s="450">
        <f>IF(ISNUMBER(Datos!Q15),Datos!Q15," - ")</f>
        <v>91</v>
      </c>
      <c r="D15" s="419">
        <f>IF(ISNUMBER(Datos!R15),Datos!R15," - ")</f>
        <v>197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3</v>
      </c>
      <c r="D17" s="419">
        <f>IF(ISNUMBER(Datos!R17),Datos!R17," - ")</f>
        <v>10</v>
      </c>
    </row>
    <row r="18" spans="1:4" ht="14.25" thickTop="1" thickBot="1">
      <c r="A18" s="994" t="str">
        <f>Datos!A18</f>
        <v>TOTAL</v>
      </c>
      <c r="B18" s="995">
        <f>SUBTOTAL(9,B15:B17)</f>
        <v>66</v>
      </c>
      <c r="C18" s="999">
        <f>SUBTOTAL(9,C15:C17)</f>
        <v>94</v>
      </c>
      <c r="D18" s="997">
        <f>SUBTOTAL(9,D15:D17)</f>
        <v>207</v>
      </c>
    </row>
    <row r="19" spans="1:4" ht="16.5" customHeight="1" thickTop="1" thickBot="1">
      <c r="A19" s="939" t="str">
        <f>Datos!A19</f>
        <v>TOTAL JURISDICCIONES</v>
      </c>
      <c r="B19" s="944">
        <f>SUBTOTAL(9,B8:B18)</f>
        <v>572</v>
      </c>
      <c r="C19" s="945">
        <f>SUBTOTAL(9,C8:C18)</f>
        <v>462</v>
      </c>
      <c r="D19" s="946">
        <f>SUBTOTAL(9,D8:D18)</f>
        <v>7208</v>
      </c>
    </row>
    <row r="20" spans="1:4" ht="7.5" customHeight="1"/>
    <row r="21" spans="1:4" ht="6" customHeight="1"/>
    <row r="22" spans="1:4">
      <c r="A22" s="402" t="str">
        <f>Criterios!A4</f>
        <v>Fecha Informe: 06 oct. 2023</v>
      </c>
    </row>
    <row r="27" spans="1:4">
      <c r="A27" s="425"/>
    </row>
  </sheetData>
  <sheetProtection algorithmName="SHA-512" hashValue="HX0uRMj/3U3NlZoTvtlzDTV7AXWoAXEtZvxf+85C6C+UDP9mrSJKJ11l7Nq7yrNrxHBXpkG5Bn2do3JdYqlt9A==" saltValue="UjeI0IunQ0TatXHRlaX3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TORREMOLINOS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3.2083696599825635E-2</v>
      </c>
      <c r="C9" s="472">
        <f>IF(ISNUMBER(
   IF(J_V="SI",(Datos!J9-Datos!T9)/Datos!T9,(Datos!J9+Datos!Z9-(Datos!T9+Datos!AH9))/(Datos!T9+Datos!AH9))
     ),IF(J_V="SI",(Datos!J9-Datos!T9)/Datos!T9,(Datos!J9+Datos!Z9-(Datos!T9+Datos!AH9))/(Datos!T9+Datos!AH9))," - ")</f>
        <v>0.28641251221896386</v>
      </c>
      <c r="D9" s="472">
        <f>IF(ISNUMBER(
   IF(J_V="SI",(Datos!K9-Datos!U9)/Datos!U9,(Datos!K9+Datos!AA9-(Datos!U9+Datos!AI9))/(Datos!U9+Datos!AI9))
     ),IF(J_V="SI",(Datos!K9-Datos!U9)/Datos!U9,(Datos!K9+Datos!AA9-(Datos!U9+Datos!AI9))/(Datos!U9+Datos!AI9))," - ")</f>
        <v>-0.17004048582995951</v>
      </c>
      <c r="E9" s="472">
        <f>IF(ISNUMBER(
   IF(J_V="SI",(Datos!L9-Datos!V9)/Datos!V9,(Datos!L9+Datos!AB9-(Datos!V9+Datos!AJ9))/(Datos!V9+Datos!AJ9))
     ),IF(J_V="SI",(Datos!L9-Datos!V9)/Datos!V9,(Datos!L9+Datos!AB9-(Datos!V9+Datos!AJ9))/(Datos!V9+Datos!AJ9))," - ")</f>
        <v>0.20654911838790932</v>
      </c>
      <c r="F9" s="472">
        <f>IF(ISNUMBER((Datos!M9-Datos!W9)/Datos!W9),(Datos!M9-Datos!W9)/Datos!W9," - ")</f>
        <v>-0.19183673469387755</v>
      </c>
      <c r="G9" s="473">
        <f>IF(ISNUMBER((Datos!N9-Datos!X9)/Datos!X9),(Datos!N9-Datos!X9)/Datos!X9," - ")</f>
        <v>-2.1091811414392061E-2</v>
      </c>
      <c r="H9" s="471">
        <f>IF(ISNUMBER(((NºAsuntos!G9/NºAsuntos!E9)-Datos!BD9)/Datos!BD9),((NºAsuntos!G9/NºAsuntos!E9)-Datos!BD9)/Datos!BD9," - ")</f>
        <v>-0.35482630471432258</v>
      </c>
      <c r="I9" s="472">
        <f>IF(ISNUMBER(((NºAsuntos!I9/NºAsuntos!G9)-Datos!BE9)/Datos!BE9),((NºAsuntos!I9/NºAsuntos!G9)-Datos!BE9)/Datos!BE9," - ")</f>
        <v>0.45374454752104204</v>
      </c>
      <c r="J9" s="477">
        <f>IF(ISNUMBER((('Resol  Asuntos'!D9/NºAsuntos!G9)-Datos!BF9)/Datos!BF9),(('Resol  Asuntos'!D9/NºAsuntos!G9)-Datos!BF9)/Datos!BF9," - ")</f>
        <v>-0.4080251770259638</v>
      </c>
      <c r="K9" s="478">
        <f>IF(ISNUMBER((((NºAsuntos!C9+NºAsuntos!E9)/NºAsuntos!G9)-Datos!BG9)/Datos!BG9),(((NºAsuntos!C9+NºAsuntos!E9)/NºAsuntos!G9)-Datos!BG9)/Datos!BG9," - ")</f>
        <v>0.32411157886157982</v>
      </c>
    </row>
    <row r="10" spans="1:11">
      <c r="A10" s="413" t="str">
        <f>Datos!A10</f>
        <v>Jdos. Violencia contra la mujer</v>
      </c>
      <c r="B10" s="471">
        <f>IF(ISNUMBER((Datos!I10-Datos!S10)/Datos!S10),(Datos!I10-Datos!S10)/Datos!S10," - ")</f>
        <v>-0.14583333333333334</v>
      </c>
      <c r="C10" s="472">
        <f>IF(ISNUMBER((Datos!J10-Datos!T10)/Datos!T10),(Datos!J10-Datos!T10)/Datos!T10," - ")</f>
        <v>2.1666666666666665</v>
      </c>
      <c r="D10" s="472">
        <f>IF(ISNUMBER((Datos!K10-Datos!U10)/Datos!U10),(Datos!K10-Datos!U10)/Datos!U10," - ")</f>
        <v>-0.48484848484848486</v>
      </c>
      <c r="E10" s="472">
        <f>IF(ISNUMBER((Datos!L10-Datos!V10)/Datos!V10),(Datos!L10-Datos!V10)/Datos!V10," - ")</f>
        <v>0.17073170731707318</v>
      </c>
      <c r="F10" s="472">
        <f>IF(ISNUMBER((Datos!M10-Datos!W10)/Datos!W10),(Datos!M10-Datos!W10)/Datos!W10," - ")</f>
        <v>-0.6428571428571429</v>
      </c>
      <c r="G10" s="473">
        <f>IF(ISNUMBER((Datos!N10-Datos!X10)/Datos!X10),(Datos!N10-Datos!X10)/Datos!X10," - ")</f>
        <v>0.6</v>
      </c>
      <c r="H10" s="471">
        <f>IF(ISNUMBER(((NºAsuntos!G10/NºAsuntos!E10)-Datos!BD10)/Datos!BD10),((NºAsuntos!G10/NºAsuntos!E10)-Datos!BD10)/Datos!BD10," - ")</f>
        <v>-0.83732057416267947</v>
      </c>
      <c r="I10" s="472">
        <f>IF(ISNUMBER(((NºAsuntos!I10/NºAsuntos!G10)-Datos!BE10)/Datos!BE10),((NºAsuntos!I10/NºAsuntos!G10)-Datos!BE10)/Datos!BE10," - ")</f>
        <v>1.2725968436154953</v>
      </c>
      <c r="J10" s="477">
        <f>IF(ISNUMBER((('Resol  Asuntos'!D10/NºAsuntos!G10)-Datos!BF10)/Datos!BF10),(('Resol  Asuntos'!D10/NºAsuntos!G10)-Datos!BF10)/Datos!BF10," - ")</f>
        <v>-0.30672268907563027</v>
      </c>
      <c r="K10" s="478">
        <f>IF(ISNUMBER((((NºAsuntos!C10+NºAsuntos!E10)/NºAsuntos!G10)-Datos!BG10)/Datos!BG10),(((NºAsuntos!C10+NºAsuntos!E10)/NºAsuntos!G10)-Datos!BG10)/Datos!BG10," - ")</f>
        <v>1.003393665158371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2.7725803708113624E-2</v>
      </c>
      <c r="C13" s="1001">
        <f>IF(ISNUMBER(
   IF(J_V="SI",(Datos!J13-Datos!T13)/Datos!T13,(Datos!J13+Datos!Z13-(Datos!T13+Datos!AH13))/(Datos!T13+Datos!AH13))
     ),IF(J_V="SI",(Datos!J13-Datos!T13)/Datos!T13,(Datos!J13+Datos!Z13-(Datos!T13+Datos!AH13))/(Datos!T13+Datos!AH13))," - ")</f>
        <v>0.29737609329446063</v>
      </c>
      <c r="D13" s="1001">
        <f>IF(ISNUMBER(
   IF(J_V="SI",(Datos!K13-Datos!U13)/Datos!U13,(Datos!K13+Datos!AA13-(Datos!U13+Datos!AI13))/(Datos!U13+Datos!AI13))
     ),IF(J_V="SI",(Datos!K13-Datos!U13)/Datos!U13,(Datos!K13+Datos!AA13-(Datos!U13+Datos!AI13))/(Datos!U13+Datos!AI13))," - ")</f>
        <v>-0.17464539007092197</v>
      </c>
      <c r="E13" s="1001">
        <f>IF(ISNUMBER(
   IF(J_V="SI",(Datos!L13-Datos!V13)/Datos!V13,(Datos!L13+Datos!AB13-(Datos!V13+Datos!AJ13))/(Datos!V13+Datos!AJ13))
     ),IF(J_V="SI",(Datos!L13-Datos!V13)/Datos!V13,(Datos!L13+Datos!AB13-(Datos!V13+Datos!AJ13))/(Datos!V13+Datos!AJ13))," - ")</f>
        <v>0.20577363140292201</v>
      </c>
      <c r="F13" s="1002">
        <f>IF(ISNUMBER((Datos!M13-Datos!W13)/Datos!W13),(Datos!M13-Datos!W13)/Datos!W13," - ")</f>
        <v>-0.20436507936507936</v>
      </c>
      <c r="G13" s="1003">
        <f>IF(ISNUMBER((Datos!N13-Datos!X13)/Datos!X13),(Datos!N13-Datos!X13)/Datos!X13," - ")</f>
        <v>-1.7262638717632551E-2</v>
      </c>
      <c r="H13" s="1003">
        <f>IF(ISNUMBER(((NºAsuntos!G13/NºAsuntos!E13)-Datos!BD13)/Datos!BD13),((NºAsuntos!G13/NºAsuntos!E13)-Datos!BD13)/Datos!BD13," - ")</f>
        <v>-0.36382779504342971</v>
      </c>
      <c r="I13" s="1003">
        <f>IF(ISNUMBER(((NºAsuntos!I13/NºAsuntos!G13)-Datos!BE13)/Datos!BE13),((NºAsuntos!I13/NºAsuntos!G13)-Datos!BE13)/Datos!BE13," - ")</f>
        <v>0.46091584986304623</v>
      </c>
      <c r="J13" s="1003">
        <f>IF(ISNUMBER((('Resol  Asuntos'!D13/NºAsuntos!G13)-Datos!BF13)/Datos!BF13),(('Resol  Asuntos'!D13/NºAsuntos!G13)-Datos!BF13)/Datos!BF13," - ")</f>
        <v>-0.40749783867333839</v>
      </c>
      <c r="K13" s="1003">
        <f>IF(ISNUMBER((((NºAsuntos!C13+NºAsuntos!E13)/NºAsuntos!G13)-Datos!BG13)/Datos!BG13),(((NºAsuntos!C13+NºAsuntos!E13)/NºAsuntos!G13)-Datos!BG13)/Datos!BG13," - ")</f>
        <v>0.32990587666271443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-2.8086910439851617E-2</v>
      </c>
      <c r="C15" s="472">
        <f>IF(ISNUMBER(
   IF(D_I="SI",(Datos!J15-Datos!T15)/Datos!T15,(Datos!J15+Datos!AD15-(Datos!T15+Datos!AL15))/(Datos!T15+Datos!AL15))
     ),IF(D_I="SI",(Datos!J15-Datos!T15)/Datos!T15,(Datos!J15+Datos!AD15-(Datos!T15+Datos!AL15))/(Datos!T15+Datos!AL15))," - ")</f>
        <v>6.1341686243800576E-2</v>
      </c>
      <c r="D15" s="472">
        <f>IF(ISNUMBER(
   IF(D_I="SI",(Datos!K15-Datos!U15)/Datos!U15,(Datos!K15+Datos!AE15-(Datos!U15+Datos!AM15))/(Datos!U15+Datos!AM15))
     ),IF(D_I="SI",(Datos!K15-Datos!U15)/Datos!U15,(Datos!K15+Datos!AE15-(Datos!U15+Datos!AM15))/(Datos!U15+Datos!AM15))," - ")</f>
        <v>1.2954658694569009E-2</v>
      </c>
      <c r="E15" s="472">
        <f>IF(ISNUMBER(
   IF(D_I="SI",(Datos!L15-Datos!V15)/Datos!V15,(Datos!L15+Datos!AF15-(Datos!V15+Datos!AN15))/(Datos!V15+Datos!AN15))
     ),IF(D_I="SI",(Datos!L15-Datos!V15)/Datos!V15,(Datos!L15+Datos!AF15-(Datos!V15+Datos!AN15))/(Datos!V15+Datos!AN15))," - ")</f>
        <v>6.3283922462941844E-2</v>
      </c>
      <c r="F15" s="472">
        <f>IF(ISNUMBER((Datos!M15-Datos!W15)/Datos!W15),(Datos!M15-Datos!W15)/Datos!W15," - ")</f>
        <v>5.8620689655172413E-2</v>
      </c>
      <c r="G15" s="473">
        <f>IF(ISNUMBER((Datos!N15-Datos!X15)/Datos!X15),(Datos!N15-Datos!X15)/Datos!X15," - ")</f>
        <v>9.3095422808378583E-2</v>
      </c>
      <c r="H15" s="471">
        <f>IF(ISNUMBER(((NºAsuntos!G15/NºAsuntos!E15)-Datos!BD15)/Datos!BD15),((NºAsuntos!G15/NºAsuntos!E15)-Datos!BD15)/Datos!BD15," - ")</f>
        <v>-4.5590433482810076E-2</v>
      </c>
      <c r="I15" s="472">
        <f>IF(ISNUMBER(((NºAsuntos!I15/NºAsuntos!G15)-Datos!BE15)/Datos!BE15),((NºAsuntos!I15/NºAsuntos!G15)-Datos!BE15)/Datos!BE15," - ")</f>
        <v>4.9685603730016938E-2</v>
      </c>
      <c r="J15" s="477">
        <f>IF(ISNUMBER((('Resol  Asuntos'!D15/NºAsuntos!G15)-Datos!BF15)/Datos!BF15),(('Resol  Asuntos'!D15/NºAsuntos!G15)-Datos!BF15)/Datos!BF15," - ")</f>
        <v>4.5082008921756581E-2</v>
      </c>
      <c r="K15" s="478">
        <f>IF(ISNUMBER((((NºAsuntos!C15+NºAsuntos!E15)/NºAsuntos!G15)-Datos!BG15)/Datos!BG15),(((NºAsuntos!C15+NºAsuntos!E15)/NºAsuntos!G15)-Datos!BG15)/Datos!BG15," - ")</f>
        <v>1.8633264669160318E-2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-0.11528150134048257</v>
      </c>
      <c r="C17" s="472">
        <f>IF(ISNUMBER(
   IF(D_I="SI",(Datos!J17-Datos!T17)/Datos!T17,(Datos!J17+Datos!AD17-(Datos!T17+Datos!AL17))/(Datos!T17+Datos!AL17))
     ),IF(D_I="SI",(Datos!J17-Datos!T17)/Datos!T17,(Datos!J17+Datos!AD17-(Datos!T17+Datos!AL17))/(Datos!T17+Datos!AL17))," - ")</f>
        <v>6.7114093959731542E-3</v>
      </c>
      <c r="D17" s="472">
        <f>IF(ISNUMBER(
   IF(D_I="SI",(Datos!K17-Datos!U17)/Datos!U17,(Datos!K17+Datos!AE17-(Datos!U17+Datos!AM17))/(Datos!U17+Datos!AM17))
     ),IF(D_I="SI",(Datos!K17-Datos!U17)/Datos!U17,(Datos!K17+Datos!AE17-(Datos!U17+Datos!AM17))/(Datos!U17+Datos!AM17))," - ")</f>
        <v>-0.12424242424242424</v>
      </c>
      <c r="E17" s="472">
        <f>IF(ISNUMBER(
   IF(D_I="SI",(Datos!L17-Datos!V17)/Datos!V17,(Datos!L17+Datos!AF17-(Datos!V17+Datos!AN17))/(Datos!V17+Datos!AN17))
     ),IF(D_I="SI",(Datos!L17-Datos!V17)/Datos!V17,(Datos!L17+Datos!AF17-(Datos!V17+Datos!AN17))/(Datos!V17+Datos!AN17))," - ")</f>
        <v>2.932551319648094E-2</v>
      </c>
      <c r="F17" s="472">
        <f>IF(ISNUMBER((Datos!M17-Datos!W17)/Datos!W17),(Datos!M17-Datos!W17)/Datos!W17," - ")</f>
        <v>0.6</v>
      </c>
      <c r="G17" s="473">
        <f>IF(ISNUMBER((Datos!N17-Datos!X17)/Datos!X17),(Datos!N17-Datos!X17)/Datos!X17," - ")</f>
        <v>0</v>
      </c>
      <c r="H17" s="471">
        <f>IF(ISNUMBER(((NºAsuntos!G17/NºAsuntos!E17)-Datos!BD17)/Datos!BD17),((NºAsuntos!G17/NºAsuntos!E17)-Datos!BD17)/Datos!BD17," - ")</f>
        <v>-0.1300808080808081</v>
      </c>
      <c r="I17" s="472">
        <f>IF(ISNUMBER(((NºAsuntos!I17/NºAsuntos!G17)-Datos!BE17)/Datos!BE17),((NºAsuntos!I17/NºAsuntos!G17)-Datos!BE17)/Datos!BE17," - ")</f>
        <v>0.17535439223127566</v>
      </c>
      <c r="J17" s="477">
        <f>IF(ISNUMBER((('Resol  Asuntos'!D17/NºAsuntos!G17)-Datos!BF17)/Datos!BF17),(('Resol  Asuntos'!D17/NºAsuntos!G17)-Datos!BF17)/Datos!BF17," - ")</f>
        <v>0.82698961937716264</v>
      </c>
      <c r="K17" s="478">
        <f>IF(ISNUMBER((((NºAsuntos!C17+NºAsuntos!E17)/NºAsuntos!G17)-Datos!BG17)/Datos!BG17),(((NºAsuntos!C17+NºAsuntos!E17)/NºAsuntos!G17)-Datos!BG17)/Datos!BG17," - ")</f>
        <v>7.2097112712008735E-2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-4.247787610619469E-2</v>
      </c>
      <c r="C18" s="1001">
        <f>IF(ISNUMBER(
   IF(Criterios!B14="SI",(Datos!J18-Datos!T18)/Datos!T18,(Datos!J18+Datos!AD18-(Datos!T18+Datos!AL18))/(Datos!T18+Datos!AL18))
     ),IF(Criterios!B14="SI",(Datos!J18-Datos!T18)/Datos!T18,(Datos!J18+Datos!AD18-(Datos!T18+Datos!AL18))/(Datos!T18+Datos!AL18))," - ")</f>
        <v>5.7398885928796321E-2</v>
      </c>
      <c r="D18" s="1001">
        <f>IF(ISNUMBER(
   IF(Criterios!B14="SI",(Datos!K18-Datos!U18)/Datos!U18,(Datos!K18+Datos!AE18-(Datos!U18+Datos!AM18))/(Datos!U18+Datos!AM18))
     ),IF(Criterios!B14="SI",(Datos!K18-Datos!U18)/Datos!U18,(Datos!K18+Datos!AE18-(Datos!U18+Datos!AM18))/(Datos!U18+Datos!AM18))," - ")</f>
        <v>2.5322283609576428E-3</v>
      </c>
      <c r="E18" s="1001">
        <f>IF(ISNUMBER(
   IF(Criterios!B14="SI",(Datos!L18-Datos!V18)/Datos!V18,(Datos!L18+Datos!AF18-(Datos!V18+Datos!AN18))/(Datos!V18+Datos!AN18))
     ),IF(Criterios!B14="SI",(Datos!L18-Datos!V18)/Datos!V18,(Datos!L18+Datos!AF18-(Datos!V18+Datos!AN18))/(Datos!V18+Datos!AN18))," - ")</f>
        <v>5.7756563245823386E-2</v>
      </c>
      <c r="F18" s="1002">
        <f>IF(ISNUMBER((Datos!M18-Datos!W18)/Datos!W18),(Datos!M18-Datos!W18)/Datos!W18," - ")</f>
        <v>9.3548387096774197E-2</v>
      </c>
      <c r="G18" s="1003">
        <f>IF(ISNUMBER((Datos!N18-Datos!X18)/Datos!X18),(Datos!N18-Datos!X18)/Datos!X18," - ")</f>
        <v>8.7655222790357923E-2</v>
      </c>
      <c r="H18" s="1003">
        <f>IF(ISNUMBER(((NºAsuntos!G18/NºAsuntos!E18)-Datos!BD18)/Datos!BD18),((NºAsuntos!G18/NºAsuntos!E18)-Datos!BD18)/Datos!BD18," - ")</f>
        <v>-5.1888325491893261E-2</v>
      </c>
      <c r="I18" s="1003">
        <f>IF(ISNUMBER(((NºAsuntos!I18/NºAsuntos!G18)-Datos!BE18)/Datos!BE18),((NºAsuntos!I18/NºAsuntos!G18)-Datos!BE18)/Datos!BE18," - ")</f>
        <v>5.5084847471838477E-2</v>
      </c>
      <c r="J18" s="1003">
        <f>IF(ISNUMBER((('Resol  Asuntos'!D18/NºAsuntos!G18)-Datos!BF18)/Datos!BF18),(('Resol  Asuntos'!D18/NºAsuntos!G18)-Datos!BF18)/Datos!BF18," - ")</f>
        <v>9.078626717528987E-2</v>
      </c>
      <c r="K18" s="1003">
        <f>IF(ISNUMBER((((NºAsuntos!C18+NºAsuntos!E18)/NºAsuntos!G18)-Datos!BG18)/Datos!BG18),(((NºAsuntos!C18+NºAsuntos!E18)/NºAsuntos!G18)-Datos!BG18)/Datos!BG18," - ")</f>
        <v>1.9487605976043411E-2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8.2319695294262186E-3</v>
      </c>
      <c r="C19" s="948">
        <f>IF(ISNUMBER(
   IF(J_V="SI",(Datos!J19-Datos!T19)/Datos!T19,(Datos!J19+Datos!Z19-(Datos!T19+Datos!AH19))/(Datos!T19+Datos!AH19))
     ),IF(J_V="SI",(Datos!J19-Datos!T19)/Datos!T19,(Datos!J19+Datos!Z19-(Datos!T19+Datos!AH19))/(Datos!T19+Datos!AH19))," - ")</f>
        <v>0.13722320995636011</v>
      </c>
      <c r="D19" s="948">
        <f>IF(ISNUMBER(
   IF(J_V="SI",(Datos!K19-Datos!U19)/Datos!U19,(Datos!K19+Datos!AA19-(Datos!U19+Datos!AI19))/(Datos!U19+Datos!AI19))
     ),IF(J_V="SI",(Datos!K19-Datos!U19)/Datos!U19,(Datos!K19+Datos!AA19-(Datos!U19+Datos!AI19))/(Datos!U19+Datos!AI19))," - ")</f>
        <v>-5.8030303030303029E-2</v>
      </c>
      <c r="E19" s="948">
        <f>IF(ISNUMBER(
   IF(J_V="SI",(Datos!L19-Datos!V19)/Datos!V19,(Datos!L19+Datos!AB19-(Datos!V19+Datos!AJ19))/(Datos!V19+Datos!AJ19))
     ),IF(J_V="SI",(Datos!L19-Datos!V19)/Datos!V19,(Datos!L19+Datos!AB19-(Datos!V19+Datos!AJ19))/(Datos!V19+Datos!AJ19))," - ")</f>
        <v>0.16589506172839505</v>
      </c>
      <c r="F19" s="949">
        <f>IF(ISNUMBER((Datos!M19-Datos!W19)/Datos!W19),(Datos!M19-Datos!W19)/Datos!W19," - ")</f>
        <v>-9.0909090909090912E-2</v>
      </c>
      <c r="G19" s="950">
        <f>IF(ISNUMBER((Datos!N19-Datos!X19)/Datos!X19),(Datos!N19-Datos!X19)/Datos!X19," - ")</f>
        <v>6.3679909833755988E-2</v>
      </c>
      <c r="H19" s="951">
        <f>IF(ISNUMBER((Tasas!B19-Datos!BD19)/Datos!BD19),(Tasas!B19-Datos!BD19)/Datos!BD19," - ")</f>
        <v>-0.17169321842644755</v>
      </c>
      <c r="I19" s="952">
        <f>IF(ISNUMBER((Tasas!C19-Datos!BE19)/Datos!BE19),(Tasas!C19-Datos!BE19)/Datos!BE19," - ")</f>
        <v>0.23772034862592997</v>
      </c>
      <c r="J19" s="953">
        <f>IF(ISNUMBER((Tasas!D19-Datos!BF19)/Datos!BF19),(Tasas!D19-Datos!BF19)/Datos!BF19," - ")</f>
        <v>-0.30478946536829504</v>
      </c>
      <c r="K19" s="953">
        <f>IF(ISNUMBER((Tasas!E19-Datos!BG19)/Datos!BG19),(Tasas!E19-Datos!BG19)/Datos!BG19," - ")</f>
        <v>0.1294839881757027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hUGRcwPISTElSzn9ovjWmHXTuMkb3Y6qXtTMdrpm6Psvt7dJDXMUXrb2uIl0XmJtjlhjLnumhAwL27zFz/vEQ==" saltValue="gfyKG5y7W7ZY55mv0uC6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TORREMOLINOS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0.70098784194528874</v>
      </c>
      <c r="C9" s="459">
        <f>IF(ISNUMBER(NºAsuntos!I9/NºAsuntos!G9),NºAsuntos!I9/NºAsuntos!G9," - ")</f>
        <v>3.6346883468834688</v>
      </c>
      <c r="D9" s="460">
        <f>IF(ISNUMBER('Resol  Asuntos'!D9/NºAsuntos!G9),'Resol  Asuntos'!D9/NºAsuntos!G9," - ")</f>
        <v>0.21463414634146341</v>
      </c>
      <c r="E9" s="461">
        <f>IF(ISNUMBER((NºAsuntos!C9+NºAsuntos!E9)/NºAsuntos!G9),(NºAsuntos!C9+NºAsuntos!E9)/NºAsuntos!G9," - ")</f>
        <v>4.6346883468834692</v>
      </c>
      <c r="G9" s="479"/>
    </row>
    <row r="10" spans="1:7">
      <c r="A10" s="413" t="str">
        <f>Datos!A10</f>
        <v>Jdos. Violencia contra la mujer</v>
      </c>
      <c r="B10" s="458">
        <f>IF(ISNUMBER(NºAsuntos!G10/NºAsuntos!E10),NºAsuntos!G10/NºAsuntos!E10," - ")</f>
        <v>0.44736842105263158</v>
      </c>
      <c r="C10" s="459">
        <f>IF(ISNUMBER(NºAsuntos!I10/NºAsuntos!G10),NºAsuntos!I10/NºAsuntos!G10," - ")</f>
        <v>8.4705882352941178</v>
      </c>
      <c r="D10" s="460">
        <f>IF(ISNUMBER('Resol  Asuntos'!D10/NºAsuntos!G10),'Resol  Asuntos'!D10/NºAsuntos!G10," - ")</f>
        <v>0.29411764705882354</v>
      </c>
      <c r="E10" s="461">
        <f>IF(ISNUMBER((NºAsuntos!C10+NºAsuntos!E10)/NºAsuntos!G10),(NºAsuntos!C10+NºAsuntos!E10)/NºAsuntos!G10," - ")</f>
        <v>9.4705882352941178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0.69737827715355805</v>
      </c>
      <c r="C13" s="1005">
        <f>IF(ISNUMBER(NºAsuntos!I13/NºAsuntos!G13),NºAsuntos!I13/NºAsuntos!G13," - ")</f>
        <v>3.678839957035446</v>
      </c>
      <c r="D13" s="1006">
        <f>IF(ISNUMBER('Resol  Asuntos'!D13/NºAsuntos!G13),'Resol  Asuntos'!D13/NºAsuntos!G13," - ")</f>
        <v>0.21535982814178303</v>
      </c>
      <c r="E13" s="1007">
        <f>IF(ISNUMBER((NºAsuntos!C13+NºAsuntos!E13)/NºAsuntos!G13),(NºAsuntos!C13+NºAsuntos!E13)/NºAsuntos!G13," - ")</f>
        <v>4.6788399570354455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v>
      </c>
      <c r="C15" s="459">
        <f>IF(ISNUMBER(NºAsuntos!I15/NºAsuntos!G15),NºAsuntos!I15/NºAsuntos!G15," - ")</f>
        <v>0.45868175110673881</v>
      </c>
      <c r="D15" s="460">
        <f>IF(ISNUMBER('Resol  Asuntos'!D15/NºAsuntos!G15),'Resol  Asuntos'!D15/NºAsuntos!G15," - ")</f>
        <v>7.5504181013280866E-2</v>
      </c>
      <c r="E15" s="461">
        <f>IF(ISNUMBER((NºAsuntos!C15+NºAsuntos!E15)/NºAsuntos!G15),(NºAsuntos!C15+NºAsuntos!E15)/NºAsuntos!G15," - ")</f>
        <v>1.4510575504181014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0.96333333333333337</v>
      </c>
      <c r="C17" s="459">
        <f>IF(ISNUMBER(NºAsuntos!I17/NºAsuntos!G17),NºAsuntos!I17/NºAsuntos!G17," - ")</f>
        <v>1.2145328719723183</v>
      </c>
      <c r="D17" s="460">
        <f>IF(ISNUMBER('Resol  Asuntos'!D17/NºAsuntos!G17),'Resol  Asuntos'!D17/NºAsuntos!G17," - ")</f>
        <v>0.11072664359861592</v>
      </c>
      <c r="E17" s="461">
        <f>IF(ISNUMBER((NºAsuntos!C17+NºAsuntos!E17)/NºAsuntos!G17),(NºAsuntos!C17+NºAsuntos!E17)/NºAsuntos!G17," - ")</f>
        <v>2.179930795847751</v>
      </c>
      <c r="G17" s="479"/>
    </row>
    <row r="18" spans="1:7" ht="14.25" thickTop="1" thickBot="1">
      <c r="A18" s="994" t="str">
        <f>Datos!A18</f>
        <v>TOTAL</v>
      </c>
      <c r="B18" s="1004">
        <f>IF(ISNUMBER(NºAsuntos!G18/NºAsuntos!E18),NºAsuntos!G18/NºAsuntos!E18," - ")</f>
        <v>0.99748053137883641</v>
      </c>
      <c r="C18" s="1005">
        <f>IF(ISNUMBER(NºAsuntos!I18/NºAsuntos!G18),NºAsuntos!I18/NºAsuntos!G18," - ")</f>
        <v>0.50884041331802521</v>
      </c>
      <c r="D18" s="1008">
        <f>IF(ISNUMBER('Resol  Asuntos'!D18/NºAsuntos!G18),'Resol  Asuntos'!D18/NºAsuntos!G18," - ")</f>
        <v>7.7841561423650979E-2</v>
      </c>
      <c r="E18" s="1007">
        <f>IF(ISNUMBER((NºAsuntos!C18+NºAsuntos!E18)/NºAsuntos!G18),(NºAsuntos!C18+NºAsuntos!E18)/NºAsuntos!G18," - ")</f>
        <v>1.4994259471871412</v>
      </c>
      <c r="G18" s="479"/>
    </row>
    <row r="19" spans="1:7" ht="15.75" customHeight="1" thickTop="1" thickBot="1">
      <c r="A19" s="939" t="str">
        <f>Datos!A19</f>
        <v>TOTAL JURISDICCIONES</v>
      </c>
      <c r="B19" s="954">
        <f>IF(ISNUMBER(NºAsuntos!G19/NºAsuntos!E19),NºAsuntos!G19/NºAsuntos!E19," - ")</f>
        <v>0.88359863558840246</v>
      </c>
      <c r="C19" s="955">
        <f>IF(ISNUMBER(NºAsuntos!I19/NºAsuntos!G19),NºAsuntos!I19/NºAsuntos!G19," - ")</f>
        <v>1.4582596107447321</v>
      </c>
      <c r="D19" s="956">
        <f>IF(ISNUMBER('Resol  Asuntos'!D19/NºAsuntos!G19),'Resol  Asuntos'!D19/NºAsuntos!G19," - ")</f>
        <v>0.11902847032330706</v>
      </c>
      <c r="E19" s="957">
        <f>IF(ISNUMBER((NºAsuntos!C19+NºAsuntos!E19)/NºAsuntos!G19),(NºAsuntos!C19+NºAsuntos!E19)/NºAsuntos!G19," - ")</f>
        <v>2.4516647900916841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Fl+s09BUCozwre5ZylhWWKknZ/FJqk+S1vSJ2f4FEZhBWFtKI8SdrNtalAyLP8PQVBMuukJVywhknFTJiA4Sg==" saltValue="cajm/sPoRi57mF2K1Ljp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TORREMOLINOS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502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364</v>
      </c>
      <c r="Y9" s="343">
        <f>SUM(W9:X9)</f>
        <v>364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6928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396</v>
      </c>
      <c r="AJ9" s="233" t="str">
        <f>IF(ISNUMBER(Datos!BW9),Datos!BW9," - ")</f>
        <v xml:space="preserve"> - </v>
      </c>
      <c r="AK9" s="232" t="str">
        <f>IF(ISNUMBER(Datos!BX9),Datos!BX9," - ")</f>
        <v xml:space="preserve"> - </v>
      </c>
      <c r="AL9" s="247">
        <f>IF(ISNUMBER(NºAsuntos!G9/NºAsuntos!E9),NºAsuntos!G9/NºAsuntos!E9," - ")</f>
        <v>0.70098784194528874</v>
      </c>
      <c r="AM9" s="264">
        <f>IF(ISNUMBER(((NºAsuntos!I9/NºAsuntos!G9)*11)/factor_trimestre),((NºAsuntos!I9/NºAsuntos!G9)*11)/factor_trimestre," - ")</f>
        <v>10.904065040650407</v>
      </c>
      <c r="AN9" s="248">
        <f>IF(ISNUMBER('Resol  Asuntos'!D9/NºAsuntos!G9),'Resol  Asuntos'!D9/NºAsuntos!G9," - ")</f>
        <v>0.21463414634146341</v>
      </c>
      <c r="AO9" s="249">
        <f>IF(ISNUMBER((NºAsuntos!C9+NºAsuntos!E9)/NºAsuntos!G9),(NºAsuntos!C9+NºAsuntos!E9)/NºAsuntos!G9," - ")</f>
        <v>4.6346883468834692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123</v>
      </c>
      <c r="G10" s="342">
        <f>IF(ISNUMBER(Datos!I10),Datos!I10," - ")</f>
        <v>123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4</v>
      </c>
      <c r="Y10" s="343">
        <f t="shared" ref="Y10:Y12" si="0">SUM(W10:X10)</f>
        <v>21</v>
      </c>
      <c r="Z10" s="344" t="str">
        <f>IF(ISNUMBER(Datos!CC10),Datos!CC10," - ")</f>
        <v xml:space="preserve"> - </v>
      </c>
      <c r="AA10" s="341">
        <f>IF(ISNUMBER(Datos!L10),Datos!L10,"-")</f>
        <v>144</v>
      </c>
      <c r="AB10" s="343">
        <f>IF(ISNUMBER(Datos!R10),Datos!R10," - ")</f>
        <v>73</v>
      </c>
      <c r="AC10" s="343">
        <f t="shared" ref="AC10:AC12" si="1">IF(ISNUMBER(AA10+AB10),AA10+AB10," - ")</f>
        <v>217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0.44736842105263158</v>
      </c>
      <c r="AM10" s="264">
        <f>IF(ISNUMBER(((NºAsuntos!I10/NºAsuntos!G10)*11)/factor_trimestre),((NºAsuntos!I10/NºAsuntos!G10)*11)/factor_trimestre," - ")</f>
        <v>25.411764705882351</v>
      </c>
      <c r="AN10" s="248">
        <f>IF(ISNUMBER('Resol  Asuntos'!D10/NºAsuntos!G10),'Resol  Asuntos'!D10/NºAsuntos!G10," - ")</f>
        <v>0.29411764705882354</v>
      </c>
      <c r="AO10" s="249">
        <f>IF(ISNUMBER((NºAsuntos!C10+NºAsuntos!E10)/NºAsuntos!G10),(NºAsuntos!C10+NºAsuntos!E10)/NºAsuntos!G10," - ")</f>
        <v>9.4705882352941178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123</v>
      </c>
      <c r="G13" s="1012">
        <f t="shared" si="3"/>
        <v>123</v>
      </c>
      <c r="H13" s="1011">
        <f t="shared" si="3"/>
        <v>0</v>
      </c>
      <c r="I13" s="1013">
        <f t="shared" si="3"/>
        <v>0</v>
      </c>
      <c r="J13" s="1013">
        <f t="shared" si="3"/>
        <v>0</v>
      </c>
      <c r="K13" s="1013">
        <f t="shared" si="3"/>
        <v>0</v>
      </c>
      <c r="L13" s="1013">
        <f t="shared" si="3"/>
        <v>506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368</v>
      </c>
      <c r="Y13" s="1014">
        <f t="shared" si="4"/>
        <v>385</v>
      </c>
      <c r="Z13" s="1014">
        <f t="shared" si="4"/>
        <v>0</v>
      </c>
      <c r="AA13" s="1014">
        <f t="shared" si="4"/>
        <v>144</v>
      </c>
      <c r="AB13" s="1014">
        <f t="shared" si="4"/>
        <v>7001</v>
      </c>
      <c r="AC13" s="1014">
        <f t="shared" si="4"/>
        <v>217</v>
      </c>
      <c r="AD13" s="1014">
        <f t="shared" si="4"/>
        <v>0</v>
      </c>
      <c r="AE13" s="1018">
        <f t="shared" si="4"/>
        <v>0</v>
      </c>
      <c r="AF13" s="1011">
        <f t="shared" si="4"/>
        <v>0</v>
      </c>
      <c r="AG13" s="1019">
        <f t="shared" si="4"/>
        <v>0</v>
      </c>
      <c r="AH13" s="1016">
        <f t="shared" si="4"/>
        <v>0</v>
      </c>
      <c r="AI13" s="1011">
        <f t="shared" si="4"/>
        <v>401</v>
      </c>
      <c r="AJ13" s="1013">
        <f t="shared" si="4"/>
        <v>0</v>
      </c>
      <c r="AK13" s="1016">
        <f>SUBTOTAL(9,AK9:AK12)</f>
        <v>0</v>
      </c>
      <c r="AL13" s="1020">
        <f>IF(ISNUMBER(NºAsuntos!G13/NºAsuntos!E13),NºAsuntos!G13/NºAsuntos!E13," - ")</f>
        <v>0.69737827715355805</v>
      </c>
      <c r="AM13" s="1020">
        <f>IF(ISNUMBER(((NºAsuntos!I13/NºAsuntos!G13)*11)/factor_trimestre),((NºAsuntos!I13/NºAsuntos!G13)*11)/factor_trimestre," - ")</f>
        <v>11.036519871106339</v>
      </c>
      <c r="AN13" s="1021">
        <f>IF(ISNUMBER('Resol  Asuntos'!D13/NºAsuntos!G13),'Resol  Asuntos'!D13/NºAsuntos!G13," - ")</f>
        <v>0.21535982814178303</v>
      </c>
      <c r="AO13" s="1022">
        <f>IF(ISNUMBER((NºAsuntos!C13+NºAsuntos!E13)/NºAsuntos!G13),(NºAsuntos!C13+NºAsuntos!E13)/NºAsuntos!G13," - ")</f>
        <v>4.6788399570354455</v>
      </c>
      <c r="AP13" s="1023" t="str">
        <f t="shared" si="2"/>
        <v xml:space="preserve"> - </v>
      </c>
      <c r="AQ13" s="1023">
        <f>IF(ISNUMBER((H13-W13+K13)/(F13)),(H13-W13+K13)/(F13)," - ")</f>
        <v>-0.13821138211382114</v>
      </c>
      <c r="AR13" s="1024">
        <f>IF(ISNUMBER((Datos!P13-Datos!Q13)/(Datos!R13-Datos!P13+Datos!Q13)),(Datos!P13-Datos!Q13)/(Datos!R13-Datos!P13+Datos!Q13)," - ")</f>
        <v>2.0107824566516101E-2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1865</v>
      </c>
      <c r="G15" s="342">
        <f>IF(ISNUMBER(IF(D_I="SI",Datos!I15,Datos!I15+Datos!AC15)),IF(D_I="SI",Datos!I15,Datos!I15+Datos!AC15)," - ")</f>
        <v>1834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61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4066</v>
      </c>
      <c r="X15" s="230">
        <f>IF(ISNUMBER(Datos!Q15),Datos!Q15," - ")</f>
        <v>91</v>
      </c>
      <c r="Y15" s="343">
        <f>SUM(W15)</f>
        <v>4066</v>
      </c>
      <c r="Z15" s="344" t="str">
        <f>IF(ISNUMBER(Datos!CC15),Datos!CC15," - ")</f>
        <v xml:space="preserve"> - </v>
      </c>
      <c r="AA15" s="341">
        <f>IF(ISNUMBER(IF(D_I="SI",Datos!L15,Datos!L15+Datos!AF15)),IF(D_I="SI",Datos!L15,Datos!L15+Datos!AF15)," - ")</f>
        <v>1865</v>
      </c>
      <c r="AB15" s="343">
        <f>IF(ISNUMBER(Datos!R15),Datos!R15," - ")</f>
        <v>197</v>
      </c>
      <c r="AC15" s="343">
        <f t="shared" ref="AC15:AC17" si="6">IF(ISNUMBER(AA15+AB15),AA15+AB15," - ")</f>
        <v>2062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307</v>
      </c>
      <c r="AJ15" s="235" t="str">
        <f>IF(ISNUMBER(Datos!BW15),Datos!BW15," - ")</f>
        <v xml:space="preserve"> - </v>
      </c>
      <c r="AK15" s="236" t="str">
        <f>IF(ISNUMBER(Datos!BX15),Datos!BX15," - ")</f>
        <v xml:space="preserve"> - </v>
      </c>
      <c r="AL15" s="247">
        <f>IF(ISNUMBER(NºAsuntos!G15/NºAsuntos!E15),NºAsuntos!G15/NºAsuntos!E15," - ")</f>
        <v>1</v>
      </c>
      <c r="AM15" s="264">
        <f>IF(ISNUMBER(((NºAsuntos!I15/NºAsuntos!G15)*11)/factor_trimestre),((NºAsuntos!I15/NºAsuntos!G15)*11)/factor_trimestre," - ")</f>
        <v>1.3760452533202165</v>
      </c>
      <c r="AN15" s="248">
        <f>IF(ISNUMBER('Resol  Asuntos'!D15/NºAsuntos!G15),'Resol  Asuntos'!D15/NºAsuntos!G15," - ")</f>
        <v>7.5504181013280866E-2</v>
      </c>
      <c r="AO15" s="249">
        <f>IF(ISNUMBER((NºAsuntos!C15+NºAsuntos!E15)/NºAsuntos!G15),(NºAsuntos!C15+NºAsuntos!E15)/NºAsuntos!G15," - ")</f>
        <v>1.4510575504181014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289</v>
      </c>
      <c r="X17" s="230">
        <f>IF(ISNUMBER(Datos!Q17),Datos!Q17," - ")</f>
        <v>3</v>
      </c>
      <c r="Y17" s="343">
        <f t="shared" si="7"/>
        <v>292</v>
      </c>
      <c r="Z17" s="344" t="str">
        <f>IF(ISNUMBER(Datos!CC17),Datos!CC17," - ")</f>
        <v xml:space="preserve"> - </v>
      </c>
      <c r="AA17" s="341">
        <f>IF(ISNUMBER(Datos!L17),Datos!L17,"-")</f>
        <v>351</v>
      </c>
      <c r="AB17" s="343">
        <f>IF(ISNUMBER(Datos!R17),Datos!R17," - ")</f>
        <v>10</v>
      </c>
      <c r="AC17" s="343">
        <f t="shared" si="6"/>
        <v>361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32</v>
      </c>
      <c r="AJ17" s="235" t="str">
        <f>IF(ISNUMBER(Datos!BW17),Datos!BW17," - ")</f>
        <v xml:space="preserve"> - </v>
      </c>
      <c r="AK17" s="236" t="str">
        <f>IF(ISNUMBER(Datos!BX17),Datos!BX17," - ")</f>
        <v xml:space="preserve"> - </v>
      </c>
      <c r="AL17" s="247">
        <f>IF(ISNUMBER(NºAsuntos!G17/NºAsuntos!E17),NºAsuntos!G17/NºAsuntos!E17," - ")</f>
        <v>0.96333333333333337</v>
      </c>
      <c r="AM17" s="264">
        <f>IF(ISNUMBER(((NºAsuntos!I17/NºAsuntos!G17)*11)/factor_trimestre),((NºAsuntos!I17/NºAsuntos!G17)*11)/factor_trimestre," - ")</f>
        <v>3.6435986159169551</v>
      </c>
      <c r="AN17" s="248">
        <f>IF(ISNUMBER('Resol  Asuntos'!D17/NºAsuntos!G17),'Resol  Asuntos'!D17/NºAsuntos!G17," - ")</f>
        <v>0.11072664359861592</v>
      </c>
      <c r="AO17" s="249">
        <f>IF(ISNUMBER((NºAsuntos!C17+NºAsuntos!E17)/NºAsuntos!G17),(NºAsuntos!C17+NºAsuntos!E17)/NºAsuntos!G17," - ")</f>
        <v>2.179930795847751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1865</v>
      </c>
      <c r="G18" s="1012">
        <f>SUBTOTAL(9,G15:G17)</f>
        <v>2164</v>
      </c>
      <c r="H18" s="1011">
        <f t="shared" ref="H18:O18" si="10">SUBTOTAL(9,H14:H17)</f>
        <v>0</v>
      </c>
      <c r="I18" s="1013">
        <f t="shared" si="10"/>
        <v>0</v>
      </c>
      <c r="J18" s="1013">
        <f t="shared" si="10"/>
        <v>0</v>
      </c>
      <c r="K18" s="1013">
        <f t="shared" si="10"/>
        <v>0</v>
      </c>
      <c r="L18" s="1013">
        <f t="shared" si="10"/>
        <v>66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4355</v>
      </c>
      <c r="X18" s="1013">
        <f t="shared" si="11"/>
        <v>94</v>
      </c>
      <c r="Y18" s="1014">
        <f t="shared" si="11"/>
        <v>4358</v>
      </c>
      <c r="Z18" s="1014">
        <f t="shared" si="11"/>
        <v>0</v>
      </c>
      <c r="AA18" s="1014">
        <f t="shared" si="11"/>
        <v>2216</v>
      </c>
      <c r="AB18" s="1014">
        <f t="shared" si="11"/>
        <v>207</v>
      </c>
      <c r="AC18" s="1014">
        <f t="shared" si="11"/>
        <v>2423</v>
      </c>
      <c r="AD18" s="1014">
        <f t="shared" si="11"/>
        <v>0</v>
      </c>
      <c r="AE18" s="1018">
        <f t="shared" si="11"/>
        <v>0</v>
      </c>
      <c r="AF18" s="1011">
        <f t="shared" si="11"/>
        <v>0</v>
      </c>
      <c r="AG18" s="1019">
        <f t="shared" si="11"/>
        <v>0</v>
      </c>
      <c r="AH18" s="1016">
        <f t="shared" si="11"/>
        <v>0</v>
      </c>
      <c r="AI18" s="1011">
        <f t="shared" si="11"/>
        <v>339</v>
      </c>
      <c r="AJ18" s="1013">
        <f t="shared" si="11"/>
        <v>0</v>
      </c>
      <c r="AK18" s="1016">
        <f t="shared" si="11"/>
        <v>0</v>
      </c>
      <c r="AL18" s="1020">
        <f>IF(ISNUMBER(NºAsuntos!G18/NºAsuntos!E18),NºAsuntos!G18/NºAsuntos!E18," - ")</f>
        <v>0.99748053137883641</v>
      </c>
      <c r="AM18" s="1020">
        <f>IF(ISNUMBER(((NºAsuntos!I18/NºAsuntos!G18)*11)/factor_trimestre),((NºAsuntos!I18/NºAsuntos!G18)*11)/factor_trimestre," - ")</f>
        <v>1.5265212399540757</v>
      </c>
      <c r="AN18" s="1021">
        <f>IF(ISNUMBER('Resol  Asuntos'!D18/NºAsuntos!G18),'Resol  Asuntos'!D18/NºAsuntos!G18," - ")</f>
        <v>7.7841561423650979E-2</v>
      </c>
      <c r="AO18" s="1022">
        <f>IF(ISNUMBER((NºAsuntos!C18+NºAsuntos!E18)/NºAsuntos!G18),(NºAsuntos!C18+NºAsuntos!E18)/NºAsuntos!G18," - ")</f>
        <v>1.4994259471871412</v>
      </c>
      <c r="AP18" s="1023" t="str">
        <f t="shared" si="2"/>
        <v xml:space="preserve"> - </v>
      </c>
      <c r="AQ18" s="1023">
        <f>IF(ISNUMBER((H18-W18+K18)/(F18)),(H18-W18+K18)/(F18)," - ")</f>
        <v>-2.3351206434316354</v>
      </c>
      <c r="AR18" s="1024">
        <f>IF(ISNUMBER((Datos!P18-Datos!Q18)/(Datos!R18-Datos!P18+Datos!Q18)),(Datos!P18-Datos!Q18)/(Datos!R18-Datos!P18+Datos!Q18)," - ")</f>
        <v>-0.11914893617021277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1988</v>
      </c>
      <c r="G19" s="967">
        <f t="shared" si="13"/>
        <v>2287</v>
      </c>
      <c r="H19" s="966">
        <f t="shared" si="13"/>
        <v>0</v>
      </c>
      <c r="I19" s="968">
        <f t="shared" si="13"/>
        <v>0</v>
      </c>
      <c r="J19" s="968">
        <f t="shared" si="13"/>
        <v>0</v>
      </c>
      <c r="K19" s="1027">
        <f t="shared" si="13"/>
        <v>0</v>
      </c>
      <c r="L19" s="968">
        <f t="shared" si="13"/>
        <v>572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4372</v>
      </c>
      <c r="X19" s="967">
        <f t="shared" si="14"/>
        <v>462</v>
      </c>
      <c r="Y19" s="974">
        <f t="shared" si="14"/>
        <v>4743</v>
      </c>
      <c r="Z19" s="974">
        <f t="shared" si="14"/>
        <v>0</v>
      </c>
      <c r="AA19" s="974">
        <f t="shared" si="14"/>
        <v>2360</v>
      </c>
      <c r="AB19" s="974">
        <f t="shared" si="14"/>
        <v>7208</v>
      </c>
      <c r="AC19" s="974">
        <f t="shared" si="14"/>
        <v>2640</v>
      </c>
      <c r="AD19" s="974">
        <f t="shared" si="14"/>
        <v>0</v>
      </c>
      <c r="AE19" s="976">
        <f t="shared" si="14"/>
        <v>0</v>
      </c>
      <c r="AF19" s="977">
        <f t="shared" si="14"/>
        <v>0</v>
      </c>
      <c r="AG19" s="978">
        <f t="shared" si="14"/>
        <v>0</v>
      </c>
      <c r="AH19" s="976">
        <f t="shared" si="14"/>
        <v>0</v>
      </c>
      <c r="AI19" s="966">
        <f t="shared" si="14"/>
        <v>740</v>
      </c>
      <c r="AJ19" s="966">
        <f t="shared" si="14"/>
        <v>0</v>
      </c>
      <c r="AK19" s="976">
        <f t="shared" si="14"/>
        <v>0</v>
      </c>
      <c r="AL19" s="1030">
        <f>IF(ISNUMBER(NºAsuntos!G19/NºAsuntos!E19),NºAsuntos!G19/NºAsuntos!E19," - ")</f>
        <v>0.88359863558840246</v>
      </c>
      <c r="AM19" s="1031">
        <f>IF(ISNUMBER(((NºAsuntos!I19/NºAsuntos!G19)*11)/factor_trimestre),((NºAsuntos!I19/NºAsuntos!G19)*11)/factor_trimestre," - ")</f>
        <v>4.3747788322341963</v>
      </c>
      <c r="AN19" s="1031">
        <f>IF(ISNUMBER('Resol  Asuntos'!D19/NºAsuntos!G19),'Resol  Asuntos'!D19/NºAsuntos!G19," - ")</f>
        <v>0.11902847032330706</v>
      </c>
      <c r="AO19" s="1032">
        <f>IF(ISNUMBER((NºAsuntos!C19+NºAsuntos!E19)/NºAsuntos!G19),(NºAsuntos!C19+NºAsuntos!E19)/NºAsuntos!G19," - ")</f>
        <v>2.4516647900916841</v>
      </c>
      <c r="AP19" s="1033" t="str">
        <f t="shared" si="2"/>
        <v xml:space="preserve"> - </v>
      </c>
      <c r="AQ19" s="1034">
        <f>IF(OR(ISNUMBER(FIND("01",Criterios!A8,1)),ISNUMBER(FIND("02",Criterios!A8,1)),ISNUMBER(FIND("03",Criterios!A8,1)),ISNUMBER(FIND("04",Criterios!A8,1))),(I19-W19+K19)/(F19-K19),(H19-W19+K19)/(F19-K19))</f>
        <v>-2.1991951710261568</v>
      </c>
      <c r="AR19" s="1035">
        <f>IF(ISNUMBER((Datos!P19-Datos!Q19)/(Datos!R19-Datos!P19+Datos!Q19)),(Datos!P19-Datos!Q19)/(Datos!R19-Datos!P19+Datos!Q19)," - ")</f>
        <v>1.5497323189630883E-2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914.8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1005.7441689283281</v>
      </c>
      <c r="G21" s="257">
        <f>IF(ISNUMBER(STDEV(G8:G18)),STDEV(G8:G18),"-")</f>
        <v>1000.1643364967579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2252.2751164100714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180.42690117237692</v>
      </c>
      <c r="AJ21" s="256">
        <f t="shared" si="18"/>
        <v>0</v>
      </c>
      <c r="AK21" s="258">
        <f t="shared" si="18"/>
        <v>0</v>
      </c>
      <c r="AL21" s="253">
        <f t="shared" si="18"/>
        <v>0.22376454009990382</v>
      </c>
      <c r="AM21" s="254">
        <f t="shared" si="18"/>
        <v>9.1628138432025796</v>
      </c>
      <c r="AN21" s="254">
        <f t="shared" si="18"/>
        <v>8.9690768938264123E-2</v>
      </c>
      <c r="AO21" s="255">
        <f t="shared" si="18"/>
        <v>3.061124017135973</v>
      </c>
      <c r="AP21" s="295" t="str">
        <f t="shared" si="18"/>
        <v>-</v>
      </c>
      <c r="AQ21" s="296">
        <f t="shared" si="18"/>
        <v>1.5534494363293554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OyFpNlDvt5L5AA8IGwt/MsXqBVq+NGPz5Im6sPnh87SsT/LssZUwIbynhoISkcwv7MrrGp254uF1YbX+VuVUA==" saltValue="kO8aWVyxOkJ93QD4/A1j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TORREMOLINOS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-0.19183673469387755</v>
      </c>
      <c r="I9" s="359">
        <f>IF(ISNUMBER((Tasas!C9-Datos!BE9)/Datos!BE9),(Tasas!C9-Datos!BE9)/Datos!BE9," - ")</f>
        <v>0.45374454752104204</v>
      </c>
      <c r="J9" s="358">
        <f>IF(ISNUMBER((Tasas!D9-Datos!BF9)/Datos!BF9),(Tasas!D9-Datos!BF9)/Datos!BF9," - ")</f>
        <v>-0.4080251770259638</v>
      </c>
      <c r="K9" s="360">
        <f>IF(ISNUMBER((Tasas!E9-Datos!BG9)/Datos!BG9),(Tasas!E9-Datos!BG9)/Datos!BG9," - ")</f>
        <v>0.32411157886157982</v>
      </c>
      <c r="M9" t="e">
        <f>IF(Monitorios="SI",Datos!CE9,0)</f>
        <v>#REF!</v>
      </c>
      <c r="N9" t="e">
        <f>IF(Monitorios="SI",Datos!CF9,0)</f>
        <v>#REF!</v>
      </c>
      <c r="O9" t="e">
        <f>IF(Monitorios="SI",Datos!CG9,0)</f>
        <v>#REF!</v>
      </c>
      <c r="P9" t="e">
        <f>IF(Monitorios="SI",Datos!CH9,0)</f>
        <v>#REF!</v>
      </c>
      <c r="Q9">
        <f>IF(J_V="SI",0,Datos!AG9)</f>
        <v>170</v>
      </c>
      <c r="R9">
        <f>IF(J_V="SI",0,Datos!AH9)</f>
        <v>170</v>
      </c>
      <c r="S9">
        <f>IF(J_V="SI",0,Datos!AI9)</f>
        <v>189</v>
      </c>
      <c r="T9">
        <f>IF(J_V="SI",0,Datos!AJ9)</f>
        <v>151</v>
      </c>
    </row>
    <row r="10" spans="2:20" ht="14.25">
      <c r="B10" s="279" t="s">
        <v>249</v>
      </c>
      <c r="C10" s="7" t="str">
        <f>Datos!A10</f>
        <v>Jdos. Violencia contra la mujer</v>
      </c>
      <c r="D10" s="361">
        <f>IF(ISNUMBER((Datos!I10-Datos!S10)/Datos!S10),(Datos!I10-Datos!S10)/Datos!S10," - ")</f>
        <v>-0.14583333333333334</v>
      </c>
      <c r="E10" s="357">
        <f>IF(ISNUMBER((Datos!J10-Datos!T10)/Datos!T10),(Datos!J10-Datos!T10)/Datos!T10," - ")</f>
        <v>2.1666666666666665</v>
      </c>
      <c r="F10" s="357">
        <f>IF(ISNUMBER((Datos!K10-Datos!U10)/Datos!U10),(Datos!K10-Datos!U10)/Datos!U10," - ")</f>
        <v>-0.48484848484848486</v>
      </c>
      <c r="G10" s="358">
        <f>IF(ISNUMBER((Datos!L10-Datos!V10)/Datos!V10),(Datos!L10-Datos!V10)/Datos!V10," - ")</f>
        <v>0.17073170731707318</v>
      </c>
      <c r="H10" s="234">
        <f>IF(ISNUMBER((Datos!M10-Datos!W10)/Datos!W10),(Datos!M10-Datos!W10)/Datos!W10," - ")</f>
        <v>-0.6428571428571429</v>
      </c>
      <c r="I10" s="359">
        <f>IF(ISNUMBER((Tasas!C10-Datos!BE10)/Datos!BE10),(Tasas!C10-Datos!BE10)/Datos!BE10," - ")</f>
        <v>1.2725968436154953</v>
      </c>
      <c r="J10" s="358">
        <f>IF(ISNUMBER((Tasas!D10-Datos!BF10)/Datos!BF10),(Tasas!D10-Datos!BF10)/Datos!BF10," - ")</f>
        <v>-0.30672268907563027</v>
      </c>
      <c r="K10" s="360">
        <f>IF(ISNUMBER((Tasas!E10-Datos!BG10)/Datos!BG10),(Tasas!E10-Datos!BG10)/Datos!BG10," - ")</f>
        <v>1.003393665158371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-0.20436507936507936</v>
      </c>
      <c r="I13" s="366">
        <f>IF(ISNUMBER((Tasas!C13-Datos!BE13)/Datos!BE13),(Tasas!C13-Datos!BE13)/Datos!BE13," - ")</f>
        <v>0.46091584986304623</v>
      </c>
      <c r="J13" s="364">
        <f>IF(ISNUMBER((Tasas!D13-Datos!BF13)/Datos!BF13),(Tasas!D13-Datos!BF13)/Datos!BF13," - ")</f>
        <v>-0.40749783867333839</v>
      </c>
      <c r="K13" s="367">
        <f>IF(ISNUMBER((Tasas!E13-Datos!BG13)/Datos!BG13),(Tasas!E13-Datos!BG13)/Datos!BG13," - ")</f>
        <v>0.32990587666271443</v>
      </c>
      <c r="M13" t="e">
        <f>IF(Monitorios="SI",Datos!CE13,0)</f>
        <v>#REF!</v>
      </c>
      <c r="N13" t="e">
        <f>IF(Monitorios="SI",Datos!CF13,0)</f>
        <v>#REF!</v>
      </c>
      <c r="O13" t="e">
        <f>IF(Monitorios="SI",Datos!CG13,0)</f>
        <v>#REF!</v>
      </c>
      <c r="P13" t="e">
        <f>IF(Monitorios="SI",Datos!CH13,0)</f>
        <v>#REF!</v>
      </c>
      <c r="Q13">
        <f>IF(J_V="SI",0,Datos!AG13)</f>
        <v>170</v>
      </c>
      <c r="R13">
        <f>IF(J_V="SI",0,Datos!AH13)</f>
        <v>170</v>
      </c>
      <c r="S13">
        <f>IF(J_V="SI",0,Datos!AI13)</f>
        <v>189</v>
      </c>
      <c r="T13">
        <f>IF(J_V="SI",0,Datos!AJ13)</f>
        <v>151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-2.8086910439851617E-2</v>
      </c>
      <c r="E15" s="357">
        <f>IF(ISNUMBER(
   IF(D_I="SI",(Datos!J15-Datos!T15)/Datos!T15,(Datos!J15+Datos!AD15-(Datos!T15+Datos!AL15))/(Datos!T15+Datos!AL15))
     ),IF(D_I="SI",(Datos!J15-Datos!T15)/Datos!T15,(Datos!J15+Datos!AD15-(Datos!T15+Datos!AL15))/(Datos!T15+Datos!AL15))," - ")</f>
        <v>6.1341686243800576E-2</v>
      </c>
      <c r="F15" s="357">
        <f>IF(ISNUMBER(
   IF(D_I="SI",(Datos!K15-Datos!U15)/Datos!U15,(Datos!K15+Datos!AE15-(Datos!U15+Datos!AM15))/(Datos!U15+Datos!AM15))
     ),IF(D_I="SI",(Datos!K15-Datos!U15)/Datos!U15,(Datos!K15+Datos!AE15-(Datos!U15+Datos!AM15))/(Datos!U15+Datos!AM15))," - ")</f>
        <v>1.2954658694569009E-2</v>
      </c>
      <c r="G15" s="358">
        <f>IF(ISNUMBER(
   IF(D_I="SI",(Datos!L15-Datos!V15)/Datos!V15,(Datos!L15+Datos!AF15-(Datos!V15+Datos!AN15))/(Datos!V15+Datos!AN15))
     ),IF(D_I="SI",(Datos!L15-Datos!V15)/Datos!V15,(Datos!L15+Datos!AF15-(Datos!V15+Datos!AN15))/(Datos!V15+Datos!AN15))," - ")</f>
        <v>6.3283922462941844E-2</v>
      </c>
      <c r="H15" s="234">
        <f>IF(ISNUMBER((Datos!M15-Datos!W15)/Datos!W15),(Datos!M15-Datos!W15)/Datos!W15," - ")</f>
        <v>5.8620689655172413E-2</v>
      </c>
      <c r="I15" s="359">
        <f>IF(ISNUMBER((Tasas!C15-Datos!BE15)/Datos!BE15),(Tasas!C15-Datos!BE15)/Datos!BE15," - ")</f>
        <v>4.9685603730016938E-2</v>
      </c>
      <c r="J15" s="358">
        <f>IF(ISNUMBER((Tasas!D15-Datos!BF15)/Datos!BF15),(Tasas!D15-Datos!BF15)/Datos!BF15," - ")</f>
        <v>4.5082008921756581E-2</v>
      </c>
      <c r="K15" s="360">
        <f>IF(ISNUMBER((Tasas!E15-Datos!BG15)/Datos!BG15),(Tasas!E15-Datos!BG15)/Datos!BG15," - ")</f>
        <v>1.8633264669160318E-2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-0.11528150134048257</v>
      </c>
      <c r="E17" s="357">
        <f>IF(ISNUMBER(
   IF(D_I="SI",(Datos!J17-Datos!T17)/Datos!T17,(Datos!J17+Datos!AD17-(Datos!T17+Datos!AL17))/(Datos!T17+Datos!AL17))
     ),IF(D_I="SI",(Datos!J17-Datos!T17)/Datos!T17,(Datos!J17+Datos!AD17-(Datos!T17+Datos!AL17))/(Datos!T17+Datos!AL17))," - ")</f>
        <v>6.7114093959731542E-3</v>
      </c>
      <c r="F17" s="357">
        <f>IF(ISNUMBER(
   IF(D_I="SI",(Datos!K17-Datos!U17)/Datos!U17,(Datos!K17+Datos!AE17-(Datos!U17+Datos!AM17))/(Datos!U17+Datos!AM17))
     ),IF(D_I="SI",(Datos!K17-Datos!U17)/Datos!U17,(Datos!K17+Datos!AE17-(Datos!U17+Datos!AM17))/(Datos!U17+Datos!AM17))," - ")</f>
        <v>-0.12424242424242424</v>
      </c>
      <c r="G17" s="358">
        <f>IF(ISNUMBER(
   IF(D_I="SI",(Datos!L17-Datos!V17)/Datos!V17,(Datos!L17+Datos!AF17-(Datos!V17+Datos!AN17))/(Datos!V17+Datos!AN17))
     ),IF(D_I="SI",(Datos!L17-Datos!V17)/Datos!V17,(Datos!L17+Datos!AF17-(Datos!V17+Datos!AN17))/(Datos!V17+Datos!AN17))," - ")</f>
        <v>2.932551319648094E-2</v>
      </c>
      <c r="H17" s="234">
        <f>IF(ISNUMBER((Datos!M17-Datos!W17)/Datos!W17),(Datos!M17-Datos!W17)/Datos!W17," - ")</f>
        <v>0.6</v>
      </c>
      <c r="I17" s="359">
        <f>IF(ISNUMBER((Tasas!C17-Datos!BE17)/Datos!BE17),(Tasas!C17-Datos!BE17)/Datos!BE17," - ")</f>
        <v>0.17535439223127566</v>
      </c>
      <c r="J17" s="358">
        <f>IF(ISNUMBER((Tasas!D17-Datos!BF17)/Datos!BF17),(Tasas!D17-Datos!BF17)/Datos!BF17," - ")</f>
        <v>0.82698961937716264</v>
      </c>
      <c r="K17" s="360">
        <f>IF(ISNUMBER((Tasas!E17-Datos!BG17)/Datos!BG17),(Tasas!E17-Datos!BG17)/Datos!BG17," - ")</f>
        <v>7.2097112712008735E-2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-4.247787610619469E-2</v>
      </c>
      <c r="E18" s="363">
        <f>IF(ISNUMBER(
   IF(D_I="SI",(Datos!J18-Datos!T18)/Datos!T18,(Datos!J18+Datos!AD18-(Datos!T18+Datos!AL18))/(Datos!T18+Datos!AL18))
     ),IF(D_I="SI",(Datos!J18-Datos!T18)/Datos!T18,(Datos!J18+Datos!AD18-(Datos!T18+Datos!AL18))/(Datos!T18+Datos!AL18))," - ")</f>
        <v>5.7398885928796321E-2</v>
      </c>
      <c r="F18" s="363">
        <f>IF(ISNUMBER(
   IF(D_I="SI",(Datos!K18-Datos!U18)/Datos!U18,(Datos!K18+Datos!AE18-(Datos!U18+Datos!AM18))/(Datos!U18+Datos!AM18))
     ),IF(D_I="SI",(Datos!K18-Datos!U18)/Datos!U18,(Datos!K18+Datos!AE18-(Datos!U18+Datos!AM18))/(Datos!U18+Datos!AM18))," - ")</f>
        <v>2.5322283609576428E-3</v>
      </c>
      <c r="G18" s="364">
        <f>IF(ISNUMBER(
   IF(D_I="SI",(Datos!L18-Datos!V18)/Datos!V18,(Datos!L18+Datos!AF18-(Datos!V18+Datos!AN18))/(Datos!V18+Datos!AN18))
     ),IF(D_I="SI",(Datos!L18-Datos!V18)/Datos!V18,(Datos!L18+Datos!AF18-(Datos!V18+Datos!AN18))/(Datos!V18+Datos!AN18))," - ")</f>
        <v>5.7756563245823386E-2</v>
      </c>
      <c r="H18" s="365">
        <f>IF(ISNUMBER((Datos!M18-Datos!W18)/Datos!W18),(Datos!M18-Datos!W18)/Datos!W18," - ")</f>
        <v>9.3548387096774197E-2</v>
      </c>
      <c r="I18" s="366">
        <f>IF(ISNUMBER((Tasas!C18-Datos!BE18)/Datos!BE18),(Tasas!C18-Datos!BE18)/Datos!BE18," - ")</f>
        <v>5.5084847471838477E-2</v>
      </c>
      <c r="J18" s="364">
        <f>IF(ISNUMBER((Tasas!D18-Datos!BF18)/Datos!BF18),(Tasas!D18-Datos!BF18)/Datos!BF18," - ")</f>
        <v>9.078626717528987E-2</v>
      </c>
      <c r="K18" s="367">
        <f>IF(ISNUMBER((Tasas!E18-Datos!BG18)/Datos!BG18),(Tasas!E18-Datos!BG18)/Datos!BG18," - ")</f>
        <v>1.9487605976043411E-2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8.2319695294262186E-3</v>
      </c>
      <c r="E19" s="372">
        <f>IF(ISNUMBER(
   IF(J_V="SI",(Datos!J19-Datos!T19)/Datos!T19,(Datos!J19+Datos!Z19-(Datos!T19+Datos!AH19))/(Datos!T19+Datos!AH19))
     ),IF(J_V="SI",(Datos!J19-Datos!T19)/Datos!T19,(Datos!J19+Datos!Z19-(Datos!T19+Datos!AH19))/(Datos!T19+Datos!AH19))," - ")</f>
        <v>0.13722320995636011</v>
      </c>
      <c r="F19" s="372">
        <f>IF(ISNUMBER(
   IF(J_V="SI",(Datos!K19-Datos!U19)/Datos!U19,(Datos!K19+Datos!AA19-(Datos!U19+Datos!AI19))/(Datos!U19+Datos!AI19))
     ),IF(J_V="SI",(Datos!K19-Datos!U19)/Datos!U19,(Datos!K19+Datos!AA19-(Datos!U19+Datos!AI19))/(Datos!U19+Datos!AI19))," - ")</f>
        <v>-5.8030303030303029E-2</v>
      </c>
      <c r="G19" s="373">
        <f>IF(ISNUMBER(
   IF(J_V="SI",(Datos!L19-Datos!V19)/Datos!V19,(Datos!L19+Datos!AB19-(Datos!V19+Datos!AJ19))/(Datos!V19+Datos!AJ19))
     ),IF(J_V="SI",(Datos!L19-Datos!V19)/Datos!V19,(Datos!L19+Datos!AB19-(Datos!V19+Datos!AJ19))/(Datos!V19+Datos!AJ19))," - ")</f>
        <v>0.16589506172839505</v>
      </c>
      <c r="H19" s="374">
        <f>IF(ISNUMBER((Datos!M19-Datos!W19)/Datos!W19),(Datos!M19-Datos!W19)/Datos!W19," - ")</f>
        <v>-9.0909090909090912E-2</v>
      </c>
      <c r="I19" s="371">
        <f>IF(ISNUMBER((Tasas!C19-Datos!BE19)/Datos!BE19),(Tasas!C19-Datos!BE19)/Datos!BE19," - ")</f>
        <v>0.23772034862592997</v>
      </c>
      <c r="J19" s="372">
        <f>IF(ISNUMBER((Tasas!D19-Datos!BF19)/Datos!BF19),(Tasas!D19-Datos!BF19)/Datos!BF19," - ")</f>
        <v>-0.30478946536829504</v>
      </c>
      <c r="K19" s="373">
        <f>IF(ISNUMBER((Tasas!E19-Datos!BG19)/Datos!BG19),(Tasas!E19-Datos!BG19)/Datos!BG19," - ")</f>
        <v>0.1294839881757027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5.670857482438451E-2</v>
      </c>
      <c r="E21" s="282">
        <f t="shared" si="1"/>
        <v>1.0627158522139855</v>
      </c>
      <c r="F21" s="282">
        <f t="shared" si="1"/>
        <v>0.23280681179877097</v>
      </c>
      <c r="G21" s="283">
        <f t="shared" si="1"/>
        <v>6.2112915491587907E-2</v>
      </c>
      <c r="H21" s="289">
        <f t="shared" si="1"/>
        <v>0.41238374765703584</v>
      </c>
      <c r="I21" s="281">
        <f t="shared" si="1"/>
        <v>0.46030859913556432</v>
      </c>
      <c r="J21" s="282">
        <f t="shared" si="1"/>
        <v>0.47256113404277728</v>
      </c>
      <c r="K21" s="283">
        <f t="shared" si="1"/>
        <v>0.37572806683758292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lpkm56jWasA4qcv4CwhHDUc627kfBBEaPz8yldjlQvGaEmjyxZGEAXokp1PDp1sCa60G0SiYtZq4WQywY7okQ==" saltValue="rGGdpKLFQhNtEZvXzLTH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